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tfranke\Documents\"/>
    </mc:Choice>
  </mc:AlternateContent>
  <xr:revisionPtr revIDLastSave="0" documentId="8_{B3E6D075-B00B-4C50-9BA1-E890C94C365B}" xr6:coauthVersionLast="47" xr6:coauthVersionMax="47" xr10:uidLastSave="{00000000-0000-0000-0000-000000000000}"/>
  <workbookProtection workbookPassword="D19C" lockStructure="1"/>
  <bookViews>
    <workbookView xWindow="-120" yWindow="-120" windowWidth="29040" windowHeight="15840" tabRatio="658" firstSheet="3" activeTab="32" xr2:uid="{752E42A0-0A54-4147-9177-E847ADC33C09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95" state="hidden" r:id="rId15"/>
    <sheet name="SchnittGes2" sheetId="100" state="hidden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state="hidden" r:id="rId24"/>
    <sheet name="Spielzettel4" sheetId="85" state="hidden" r:id="rId25"/>
    <sheet name="Erfassung4" sheetId="57" state="hidden" r:id="rId26"/>
    <sheet name="Tabelle4" sheetId="70" state="hidden" r:id="rId27"/>
    <sheet name="TabGes4" sheetId="74" state="hidden" r:id="rId28"/>
    <sheet name="Schnitt4" sheetId="97" state="hidden" r:id="rId29"/>
    <sheet name="SchnittGes4" sheetId="102" state="hidden" r:id="rId30"/>
    <sheet name="SRBericht5" sheetId="93" r:id="rId31"/>
    <sheet name="Spielzettel5" sheetId="86" r:id="rId32"/>
    <sheet name="Erfassung5" sheetId="58" r:id="rId33"/>
    <sheet name="Tabelle5" sheetId="68" r:id="rId34"/>
    <sheet name="TabGes5" sheetId="75" r:id="rId35"/>
    <sheet name="Schnitt5" sheetId="98" r:id="rId36"/>
    <sheet name="SchnittGes5" sheetId="103" r:id="rId37"/>
    <sheet name="SRBericht6" sheetId="94" state="hidden" r:id="rId38"/>
    <sheet name="Spielzettel6" sheetId="87" state="hidden" r:id="rId39"/>
    <sheet name="Erfassung6" sheetId="59" state="hidden" r:id="rId40"/>
    <sheet name="Tabelle6" sheetId="69" state="hidden" r:id="rId41"/>
    <sheet name="TabGes6" sheetId="77" state="hidden" r:id="rId42"/>
    <sheet name="Schnitt6" sheetId="99" state="hidden" r:id="rId43"/>
    <sheet name="SchnittGes6" sheetId="104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daysnew">[1]Eingabe!$J$3</definedName>
    <definedName name="_xlnm.Print_Area" localSheetId="6">Erfassung1!$A:$AF</definedName>
    <definedName name="_xlnm.Print_Area" localSheetId="11">Erfassung2!$P$1:$AF$180</definedName>
    <definedName name="_xlnm.Print_Area" localSheetId="18">Erfassung3!$P$1:$AF$180</definedName>
    <definedName name="_xlnm.Print_Area" localSheetId="25">Erfassung4!$P$1:$AF$180</definedName>
    <definedName name="_xlnm.Print_Area" localSheetId="32">Erfassung5!$P$1:$AF$180</definedName>
    <definedName name="_xlnm.Print_Area" localSheetId="39">Erfassung6!$P$1:$AF$180</definedName>
    <definedName name="_xlnm.Print_Area" localSheetId="2">Schlüssel!$A$1:$V$19</definedName>
    <definedName name="_xlnm.Print_Area" localSheetId="8">Schnitt1!$A$1:$G$58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">Spielzettel1!$A:$O</definedName>
    <definedName name="_xlnm.Print_Area" localSheetId="10">Spielzettel2!$A:$O</definedName>
    <definedName name="_xlnm.Print_Area" localSheetId="17">Spielzettel3!$A:$O</definedName>
    <definedName name="_xlnm.Print_Area" localSheetId="24">Spielzettel4!$A:$O</definedName>
    <definedName name="_xlnm.Print_Area" localSheetId="31">Spielzettel5!$A:$O</definedName>
    <definedName name="_xlnm.Print_Area" localSheetId="38">Spielzettel6!$A:$O</definedName>
    <definedName name="_xlnm.Print_Area" localSheetId="7">Tabelle1!$A$1:$O$22</definedName>
    <definedName name="_xlnm.Print_Area" localSheetId="12">Tabelle2!$A$1:$O$22</definedName>
    <definedName name="_xlnm.Print_Area" localSheetId="19">Tabelle3!$A$1:$O$23</definedName>
    <definedName name="_xlnm.Print_Area" localSheetId="26">Tabelle4!$A$1:$O$22</definedName>
    <definedName name="_xlnm.Print_Area" localSheetId="33">Tabelle5!$A$1:$O$22</definedName>
    <definedName name="_xlnm.Print_Area" localSheetId="40">Tabelle6!$A$1:$O$22</definedName>
    <definedName name="_xlnm.Print_Area" localSheetId="13">TabGes2!$A$1:$I$13</definedName>
    <definedName name="_xlnm.Print_Area" localSheetId="20">TabGes3!$A$1:$K$14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6" i="71" l="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S130" i="53" s="1"/>
  <c r="B130" i="53" s="1"/>
  <c r="D22" i="71"/>
  <c r="C22" i="71"/>
  <c r="B22" i="71"/>
  <c r="D21" i="71"/>
  <c r="C21" i="71"/>
  <c r="B21" i="71"/>
  <c r="D20" i="71"/>
  <c r="C20" i="71"/>
  <c r="B20" i="71"/>
  <c r="D19" i="71"/>
  <c r="C19" i="71"/>
  <c r="B19" i="71"/>
  <c r="S38" i="55" s="1"/>
  <c r="B38" i="55" s="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D3" i="71"/>
  <c r="C3" i="71"/>
  <c r="B3" i="71"/>
  <c r="D2" i="71"/>
  <c r="C2" i="71"/>
  <c r="B2" i="71"/>
  <c r="S70" i="52" s="1"/>
  <c r="B70" i="52" s="1"/>
  <c r="S73" i="58"/>
  <c r="B73" i="58" s="1"/>
  <c r="S98" i="52"/>
  <c r="B98" i="52" s="1"/>
  <c r="S10" i="52"/>
  <c r="B10" i="52" s="1"/>
  <c r="S163" i="53"/>
  <c r="B163" i="53" s="1"/>
  <c r="C1" i="106"/>
  <c r="B17" i="16"/>
  <c r="B16" i="16"/>
  <c r="B15" i="16"/>
  <c r="B14" i="16"/>
  <c r="B13" i="16"/>
  <c r="B12" i="16"/>
  <c r="BC170" i="59"/>
  <c r="BL168" i="59"/>
  <c r="BK168" i="59"/>
  <c r="BJ168" i="59"/>
  <c r="BI168" i="59"/>
  <c r="BH168" i="59"/>
  <c r="BD168" i="59"/>
  <c r="BL167" i="59"/>
  <c r="BK167" i="59"/>
  <c r="BJ167" i="59"/>
  <c r="BI167" i="59"/>
  <c r="BH167" i="59"/>
  <c r="BD167" i="59"/>
  <c r="BL166" i="59"/>
  <c r="BK166" i="59"/>
  <c r="BJ166" i="59"/>
  <c r="BI166" i="59"/>
  <c r="BH166" i="59"/>
  <c r="BD166" i="59"/>
  <c r="BL165" i="59"/>
  <c r="BK165" i="59"/>
  <c r="BJ165" i="59"/>
  <c r="BI165" i="59"/>
  <c r="BH165" i="59"/>
  <c r="BD165" i="59"/>
  <c r="BL164" i="59"/>
  <c r="BG164" i="59" s="1"/>
  <c r="BK164" i="59"/>
  <c r="BJ164" i="59"/>
  <c r="BI164" i="59"/>
  <c r="BH164" i="59"/>
  <c r="BD164" i="59"/>
  <c r="BL163" i="59"/>
  <c r="BK163" i="59"/>
  <c r="BJ163" i="59"/>
  <c r="BI163" i="59"/>
  <c r="BH163" i="59"/>
  <c r="BD163" i="59"/>
  <c r="BL162" i="59"/>
  <c r="BK162" i="59"/>
  <c r="BJ162" i="59"/>
  <c r="BI162" i="59"/>
  <c r="BH162" i="59"/>
  <c r="BD162" i="59"/>
  <c r="BL161" i="59"/>
  <c r="BK161" i="59"/>
  <c r="BJ161" i="59"/>
  <c r="BI161" i="59"/>
  <c r="BH161" i="59"/>
  <c r="BD161" i="59"/>
  <c r="BL160" i="59"/>
  <c r="BK160" i="59"/>
  <c r="BJ160" i="59"/>
  <c r="BI160" i="59"/>
  <c r="BH160" i="59"/>
  <c r="BD160" i="59"/>
  <c r="BL159" i="59"/>
  <c r="BK159" i="59"/>
  <c r="BJ159" i="59"/>
  <c r="BI159" i="59"/>
  <c r="BH159" i="59"/>
  <c r="BD159" i="59"/>
  <c r="BL158" i="59"/>
  <c r="BK158" i="59"/>
  <c r="BJ158" i="59"/>
  <c r="BI158" i="59"/>
  <c r="BH158" i="59"/>
  <c r="BD158" i="59"/>
  <c r="BL157" i="59"/>
  <c r="BK157" i="59"/>
  <c r="BJ157" i="59"/>
  <c r="BI157" i="59"/>
  <c r="BH157" i="59"/>
  <c r="BD157" i="59"/>
  <c r="BC140" i="59"/>
  <c r="BL138" i="59"/>
  <c r="BK138" i="59"/>
  <c r="BJ138" i="59"/>
  <c r="BI138" i="59"/>
  <c r="BH138" i="59"/>
  <c r="BD138" i="59"/>
  <c r="BL137" i="59"/>
  <c r="BK137" i="59"/>
  <c r="BJ137" i="59"/>
  <c r="BI137" i="59"/>
  <c r="BH137" i="59"/>
  <c r="BD137" i="59"/>
  <c r="BL136" i="59"/>
  <c r="BK136" i="59"/>
  <c r="BJ136" i="59"/>
  <c r="BI136" i="59"/>
  <c r="BH136" i="59"/>
  <c r="BD136" i="59"/>
  <c r="BL135" i="59"/>
  <c r="BK135" i="59"/>
  <c r="BJ135" i="59"/>
  <c r="BI135" i="59"/>
  <c r="BH135" i="59"/>
  <c r="BD135" i="59"/>
  <c r="BL134" i="59"/>
  <c r="BK134" i="59"/>
  <c r="BJ134" i="59"/>
  <c r="BI134" i="59"/>
  <c r="BH134" i="59"/>
  <c r="BD134" i="59"/>
  <c r="BL133" i="59"/>
  <c r="BK133" i="59"/>
  <c r="BJ133" i="59"/>
  <c r="BI133" i="59"/>
  <c r="BH133" i="59"/>
  <c r="BT133" i="59" s="1"/>
  <c r="BD133" i="59"/>
  <c r="BL132" i="59"/>
  <c r="BK132" i="59"/>
  <c r="BJ132" i="59"/>
  <c r="BI132" i="59"/>
  <c r="BH132" i="59"/>
  <c r="BD132" i="59"/>
  <c r="BL131" i="59"/>
  <c r="BK131" i="59"/>
  <c r="BJ131" i="59"/>
  <c r="BI131" i="59"/>
  <c r="BH131" i="59"/>
  <c r="BD131" i="59"/>
  <c r="BL130" i="59"/>
  <c r="BK130" i="59"/>
  <c r="BJ130" i="59"/>
  <c r="BI130" i="59"/>
  <c r="BH130" i="59"/>
  <c r="BD130" i="59"/>
  <c r="BL129" i="59"/>
  <c r="BK129" i="59"/>
  <c r="BJ129" i="59"/>
  <c r="BI129" i="59"/>
  <c r="BH129" i="59"/>
  <c r="BD129" i="59"/>
  <c r="BL128" i="59"/>
  <c r="BK128" i="59"/>
  <c r="BJ128" i="59"/>
  <c r="BI128" i="59"/>
  <c r="BH128" i="59"/>
  <c r="BD128" i="59"/>
  <c r="BL127" i="59"/>
  <c r="BK127" i="59"/>
  <c r="BJ127" i="59"/>
  <c r="BI127" i="59"/>
  <c r="BH127" i="59"/>
  <c r="BD127" i="59"/>
  <c r="BC110" i="59"/>
  <c r="BL108" i="59"/>
  <c r="BK108" i="59"/>
  <c r="BJ108" i="59"/>
  <c r="BI108" i="59"/>
  <c r="BH108" i="59"/>
  <c r="BD108" i="59"/>
  <c r="BL107" i="59"/>
  <c r="BK107" i="59"/>
  <c r="BJ107" i="59"/>
  <c r="BI107" i="59"/>
  <c r="BH107" i="59"/>
  <c r="BD107" i="59"/>
  <c r="BL106" i="59"/>
  <c r="BK106" i="59"/>
  <c r="BJ106" i="59"/>
  <c r="BI106" i="59"/>
  <c r="BH106" i="59"/>
  <c r="BD106" i="59"/>
  <c r="BL105" i="59"/>
  <c r="BK105" i="59"/>
  <c r="BJ105" i="59"/>
  <c r="BI105" i="59"/>
  <c r="BH105" i="59"/>
  <c r="BD105" i="59"/>
  <c r="BL104" i="59"/>
  <c r="BK104" i="59"/>
  <c r="BJ104" i="59"/>
  <c r="BI104" i="59"/>
  <c r="BH104" i="59"/>
  <c r="BG104" i="59" s="1"/>
  <c r="BD104" i="59"/>
  <c r="BL103" i="59"/>
  <c r="BK103" i="59"/>
  <c r="BJ103" i="59"/>
  <c r="BI103" i="59"/>
  <c r="BH103" i="59"/>
  <c r="BD103" i="59"/>
  <c r="BL102" i="59"/>
  <c r="BK102" i="59"/>
  <c r="BJ102" i="59"/>
  <c r="BI102" i="59"/>
  <c r="BH102" i="59"/>
  <c r="BD102" i="59"/>
  <c r="BL101" i="59"/>
  <c r="BK101" i="59"/>
  <c r="BJ101" i="59"/>
  <c r="BI101" i="59"/>
  <c r="BH101" i="59"/>
  <c r="BD101" i="59"/>
  <c r="BL100" i="59"/>
  <c r="BK100" i="59"/>
  <c r="BJ100" i="59"/>
  <c r="BI100" i="59"/>
  <c r="BH100" i="59"/>
  <c r="BD100" i="59"/>
  <c r="BL99" i="59"/>
  <c r="BK99" i="59"/>
  <c r="BJ99" i="59"/>
  <c r="BI99" i="59"/>
  <c r="BH99" i="59"/>
  <c r="BD99" i="59"/>
  <c r="BL98" i="59"/>
  <c r="BK98" i="59"/>
  <c r="BJ98" i="59"/>
  <c r="BI98" i="59"/>
  <c r="BH98" i="59"/>
  <c r="BD98" i="59"/>
  <c r="BL97" i="59"/>
  <c r="BK97" i="59"/>
  <c r="BJ97" i="59"/>
  <c r="BI97" i="59"/>
  <c r="BH97" i="59"/>
  <c r="BD97" i="59"/>
  <c r="BC80" i="59"/>
  <c r="BL78" i="59"/>
  <c r="BK78" i="59"/>
  <c r="BJ78" i="59"/>
  <c r="BI78" i="59"/>
  <c r="BH78" i="59"/>
  <c r="BD78" i="59"/>
  <c r="BL77" i="59"/>
  <c r="BK77" i="59"/>
  <c r="BJ77" i="59"/>
  <c r="BI77" i="59"/>
  <c r="BH77" i="59"/>
  <c r="BD77" i="59"/>
  <c r="BL76" i="59"/>
  <c r="BK76" i="59"/>
  <c r="BJ76" i="59"/>
  <c r="BI76" i="59"/>
  <c r="BH76" i="59"/>
  <c r="BD76" i="59"/>
  <c r="BL75" i="59"/>
  <c r="BK75" i="59"/>
  <c r="BJ75" i="59"/>
  <c r="BI75" i="59"/>
  <c r="BH75" i="59"/>
  <c r="BD75" i="59"/>
  <c r="BL74" i="59"/>
  <c r="BK74" i="59"/>
  <c r="BJ74" i="59"/>
  <c r="BI74" i="59"/>
  <c r="BH74" i="59"/>
  <c r="BD74" i="59"/>
  <c r="BL73" i="59"/>
  <c r="BK73" i="59"/>
  <c r="BJ73" i="59"/>
  <c r="BI73" i="59"/>
  <c r="BH73" i="59"/>
  <c r="BD73" i="59"/>
  <c r="BL72" i="59"/>
  <c r="BK72" i="59"/>
  <c r="BJ72" i="59"/>
  <c r="BI72" i="59"/>
  <c r="BH72" i="59"/>
  <c r="BD72" i="59"/>
  <c r="BL71" i="59"/>
  <c r="BK71" i="59"/>
  <c r="BJ71" i="59"/>
  <c r="BI71" i="59"/>
  <c r="BH71" i="59"/>
  <c r="BD71" i="59"/>
  <c r="BL70" i="59"/>
  <c r="BO70" i="59"/>
  <c r="BK70" i="59"/>
  <c r="BJ70" i="59"/>
  <c r="BI70" i="59"/>
  <c r="BH70" i="59"/>
  <c r="BD70" i="59"/>
  <c r="BL69" i="59"/>
  <c r="BK69" i="59"/>
  <c r="BJ69" i="59"/>
  <c r="BI69" i="59"/>
  <c r="BH69" i="59"/>
  <c r="BD69" i="59"/>
  <c r="BL68" i="59"/>
  <c r="BK68" i="59"/>
  <c r="BJ68" i="59"/>
  <c r="BI68" i="59"/>
  <c r="BH68" i="59"/>
  <c r="BF68" i="59" s="1"/>
  <c r="BD68" i="59"/>
  <c r="BL67" i="59"/>
  <c r="BK67" i="59"/>
  <c r="BJ67" i="59"/>
  <c r="BI67" i="59"/>
  <c r="BH67" i="59"/>
  <c r="BD67" i="59"/>
  <c r="BC50" i="59"/>
  <c r="BL48" i="59"/>
  <c r="BK48" i="59"/>
  <c r="BJ48" i="59"/>
  <c r="BI48" i="59"/>
  <c r="BH48" i="59"/>
  <c r="BD48" i="59"/>
  <c r="BL47" i="59"/>
  <c r="BK47" i="59"/>
  <c r="BJ47" i="59"/>
  <c r="BI47" i="59"/>
  <c r="BH47" i="59"/>
  <c r="BD47" i="59"/>
  <c r="BL46" i="59"/>
  <c r="BK46" i="59"/>
  <c r="BJ46" i="59"/>
  <c r="BI46" i="59"/>
  <c r="BH46" i="59"/>
  <c r="BD46" i="59"/>
  <c r="BL45" i="59"/>
  <c r="BK45" i="59"/>
  <c r="BJ45" i="59"/>
  <c r="BI45" i="59"/>
  <c r="BH45" i="59"/>
  <c r="BD45" i="59"/>
  <c r="BL44" i="59"/>
  <c r="BK44" i="59"/>
  <c r="BJ44" i="59"/>
  <c r="BI44" i="59"/>
  <c r="BH44" i="59"/>
  <c r="BD44" i="59"/>
  <c r="BL43" i="59"/>
  <c r="BK43" i="59"/>
  <c r="BJ43" i="59"/>
  <c r="BI43" i="59"/>
  <c r="BH43" i="59"/>
  <c r="BD43" i="59"/>
  <c r="BL42" i="59"/>
  <c r="BK42" i="59"/>
  <c r="BJ42" i="59"/>
  <c r="BI42" i="59"/>
  <c r="BH42" i="59"/>
  <c r="BD42" i="59"/>
  <c r="BL41" i="59"/>
  <c r="BK41" i="59"/>
  <c r="BJ41" i="59"/>
  <c r="BI41" i="59"/>
  <c r="BH41" i="59"/>
  <c r="BD41" i="59"/>
  <c r="BL40" i="59"/>
  <c r="BK40" i="59"/>
  <c r="BJ40" i="59"/>
  <c r="BI40" i="59"/>
  <c r="BH40" i="59"/>
  <c r="BD40" i="59"/>
  <c r="BL39" i="59"/>
  <c r="BK39" i="59"/>
  <c r="BJ39" i="59"/>
  <c r="BI39" i="59"/>
  <c r="BH39" i="59"/>
  <c r="BD39" i="59"/>
  <c r="BL38" i="59"/>
  <c r="BK38" i="59"/>
  <c r="BJ38" i="59"/>
  <c r="BI38" i="59"/>
  <c r="BH38" i="59"/>
  <c r="BD38" i="59"/>
  <c r="BL37" i="59"/>
  <c r="BK37" i="59"/>
  <c r="BJ37" i="59"/>
  <c r="BI37" i="59"/>
  <c r="BH37" i="59"/>
  <c r="BD37" i="59"/>
  <c r="BC20" i="59"/>
  <c r="BL18" i="59"/>
  <c r="BK18" i="59"/>
  <c r="BJ18" i="59"/>
  <c r="BI18" i="59"/>
  <c r="BH18" i="59"/>
  <c r="BD18" i="59"/>
  <c r="BL17" i="59"/>
  <c r="BK17" i="59"/>
  <c r="BJ17" i="59"/>
  <c r="BI17" i="59"/>
  <c r="BH17" i="59"/>
  <c r="BD17" i="59"/>
  <c r="BL16" i="59"/>
  <c r="BK16" i="59"/>
  <c r="BJ16" i="59"/>
  <c r="BI16" i="59"/>
  <c r="BH16" i="59"/>
  <c r="BD16" i="59"/>
  <c r="BL15" i="59"/>
  <c r="BK15" i="59"/>
  <c r="BJ15" i="59"/>
  <c r="BI15" i="59"/>
  <c r="BH15" i="59"/>
  <c r="BD15" i="59"/>
  <c r="BL14" i="59"/>
  <c r="BK14" i="59"/>
  <c r="BJ14" i="59"/>
  <c r="BI14" i="59"/>
  <c r="BH14" i="59"/>
  <c r="BD14" i="59"/>
  <c r="BL13" i="59"/>
  <c r="BK13" i="59"/>
  <c r="BJ13" i="59"/>
  <c r="BI13" i="59"/>
  <c r="BH13" i="59"/>
  <c r="BD13" i="59"/>
  <c r="BL12" i="59"/>
  <c r="BK12" i="59"/>
  <c r="BJ12" i="59"/>
  <c r="BI12" i="59"/>
  <c r="BH12" i="59"/>
  <c r="BD12" i="59"/>
  <c r="BL11" i="59"/>
  <c r="BK11" i="59"/>
  <c r="BJ11" i="59"/>
  <c r="BI11" i="59"/>
  <c r="BG11" i="59" s="1"/>
  <c r="BH11" i="59"/>
  <c r="BD11" i="59"/>
  <c r="BL10" i="59"/>
  <c r="BK10" i="59"/>
  <c r="BJ10" i="59"/>
  <c r="BI10" i="59"/>
  <c r="BH10" i="59"/>
  <c r="BD10" i="59"/>
  <c r="BL9" i="59"/>
  <c r="BK9" i="59"/>
  <c r="BJ9" i="59"/>
  <c r="BI9" i="59"/>
  <c r="BH9" i="59"/>
  <c r="BD9" i="59"/>
  <c r="BL8" i="59"/>
  <c r="BK8" i="59"/>
  <c r="BJ8" i="59"/>
  <c r="BI8" i="59"/>
  <c r="BH8" i="59"/>
  <c r="BD8" i="59"/>
  <c r="BL7" i="59"/>
  <c r="BK7" i="59"/>
  <c r="BJ7" i="59"/>
  <c r="BI7" i="59"/>
  <c r="BH7" i="59"/>
  <c r="BD7" i="59"/>
  <c r="BC170" i="58"/>
  <c r="BL168" i="58"/>
  <c r="BK168" i="58"/>
  <c r="BJ168" i="58"/>
  <c r="BI168" i="58"/>
  <c r="BH168" i="58"/>
  <c r="BD168" i="58"/>
  <c r="BL167" i="58"/>
  <c r="BK167" i="58"/>
  <c r="BJ167" i="58"/>
  <c r="BI167" i="58"/>
  <c r="BH167" i="58"/>
  <c r="BD167" i="58"/>
  <c r="BL166" i="58"/>
  <c r="BK166" i="58"/>
  <c r="BJ166" i="58"/>
  <c r="BI166" i="58"/>
  <c r="BH166" i="58"/>
  <c r="BD166" i="58"/>
  <c r="BL165" i="58"/>
  <c r="BK165" i="58"/>
  <c r="BJ165" i="58"/>
  <c r="BI165" i="58"/>
  <c r="BH165" i="58"/>
  <c r="BD165" i="58"/>
  <c r="BL164" i="58"/>
  <c r="BK164" i="58"/>
  <c r="BJ164" i="58"/>
  <c r="BI164" i="58"/>
  <c r="BH164" i="58"/>
  <c r="BD164" i="58"/>
  <c r="BL163" i="58"/>
  <c r="BK163" i="58"/>
  <c r="BJ163" i="58"/>
  <c r="BI163" i="58"/>
  <c r="BH163" i="58"/>
  <c r="BS163" i="58" s="1"/>
  <c r="BD163" i="58"/>
  <c r="BL162" i="58"/>
  <c r="BK162" i="58"/>
  <c r="BJ162" i="58"/>
  <c r="BI162" i="58"/>
  <c r="BH162" i="58"/>
  <c r="BD162" i="58"/>
  <c r="BL161" i="58"/>
  <c r="BK161" i="58"/>
  <c r="BJ161" i="58"/>
  <c r="BI161" i="58"/>
  <c r="BH161" i="58"/>
  <c r="BD161" i="58"/>
  <c r="BL160" i="58"/>
  <c r="BK160" i="58"/>
  <c r="BJ160" i="58"/>
  <c r="BG160" i="58" s="1"/>
  <c r="BI160" i="58"/>
  <c r="BH160" i="58"/>
  <c r="BD160" i="58"/>
  <c r="BL159" i="58"/>
  <c r="BK159" i="58"/>
  <c r="BJ159" i="58"/>
  <c r="BI159" i="58"/>
  <c r="BH159" i="58"/>
  <c r="BD159" i="58"/>
  <c r="BL158" i="58"/>
  <c r="BK158" i="58"/>
  <c r="BJ158" i="58"/>
  <c r="BI158" i="58"/>
  <c r="BH158" i="58"/>
  <c r="BD158" i="58"/>
  <c r="BL157" i="58"/>
  <c r="BK157" i="58"/>
  <c r="BJ157" i="58"/>
  <c r="BI157" i="58"/>
  <c r="BH157" i="58"/>
  <c r="BD157" i="58"/>
  <c r="BC140" i="58"/>
  <c r="BL138" i="58"/>
  <c r="BK138" i="58"/>
  <c r="BJ138" i="58"/>
  <c r="BI138" i="58"/>
  <c r="BH138" i="58"/>
  <c r="BD138" i="58"/>
  <c r="BL137" i="58"/>
  <c r="BK137" i="58"/>
  <c r="BJ137" i="58"/>
  <c r="BI137" i="58"/>
  <c r="BH137" i="58"/>
  <c r="BD137" i="58"/>
  <c r="BL136" i="58"/>
  <c r="BK136" i="58"/>
  <c r="BJ136" i="58"/>
  <c r="BI136" i="58"/>
  <c r="BS136" i="58" s="1"/>
  <c r="BH136" i="58"/>
  <c r="BD136" i="58"/>
  <c r="BL135" i="58"/>
  <c r="BK135" i="58"/>
  <c r="BJ135" i="58"/>
  <c r="BI135" i="58"/>
  <c r="BH135" i="58"/>
  <c r="BD135" i="58"/>
  <c r="BL134" i="58"/>
  <c r="BK134" i="58"/>
  <c r="BJ134" i="58"/>
  <c r="BI134" i="58"/>
  <c r="BH134" i="58"/>
  <c r="BD134" i="58"/>
  <c r="BL133" i="58"/>
  <c r="BK133" i="58"/>
  <c r="BJ133" i="58"/>
  <c r="BI133" i="58"/>
  <c r="BH133" i="58"/>
  <c r="BD133" i="58"/>
  <c r="BL132" i="58"/>
  <c r="BK132" i="58"/>
  <c r="BJ132" i="58"/>
  <c r="BI132" i="58"/>
  <c r="BH132" i="58"/>
  <c r="BD132" i="58"/>
  <c r="BL131" i="58"/>
  <c r="BK131" i="58"/>
  <c r="BJ131" i="58"/>
  <c r="BI131" i="58"/>
  <c r="BH131" i="58"/>
  <c r="BD131" i="58"/>
  <c r="BL130" i="58"/>
  <c r="BK130" i="58"/>
  <c r="BO130" i="58" s="1"/>
  <c r="BJ130" i="58"/>
  <c r="BI130" i="58"/>
  <c r="BH130" i="58"/>
  <c r="BD130" i="58"/>
  <c r="BL129" i="58"/>
  <c r="BK129" i="58"/>
  <c r="BJ129" i="58"/>
  <c r="BI129" i="58"/>
  <c r="BH129" i="58"/>
  <c r="BD129" i="58"/>
  <c r="BL128" i="58"/>
  <c r="BK128" i="58"/>
  <c r="BJ128" i="58"/>
  <c r="BI128" i="58"/>
  <c r="BH128" i="58"/>
  <c r="BD128" i="58"/>
  <c r="BL127" i="58"/>
  <c r="BK127" i="58"/>
  <c r="BJ127" i="58"/>
  <c r="BI127" i="58"/>
  <c r="BH127" i="58"/>
  <c r="BD127" i="58"/>
  <c r="BC110" i="58"/>
  <c r="BL108" i="58"/>
  <c r="BK108" i="58"/>
  <c r="BJ108" i="58"/>
  <c r="BI108" i="58"/>
  <c r="BH108" i="58"/>
  <c r="BD108" i="58"/>
  <c r="BL107" i="58"/>
  <c r="BK107" i="58"/>
  <c r="BJ107" i="58"/>
  <c r="BI107" i="58"/>
  <c r="BH107" i="58"/>
  <c r="BD107" i="58"/>
  <c r="BL106" i="58"/>
  <c r="BK106" i="58"/>
  <c r="BJ106" i="58"/>
  <c r="BI106" i="58"/>
  <c r="BH106" i="58"/>
  <c r="BF106" i="58" s="1"/>
  <c r="BD106" i="58"/>
  <c r="BL105" i="58"/>
  <c r="BK105" i="58"/>
  <c r="BJ105" i="58"/>
  <c r="BI105" i="58"/>
  <c r="BH105" i="58"/>
  <c r="BD105" i="58"/>
  <c r="BL104" i="58"/>
  <c r="BK104" i="58"/>
  <c r="BJ104" i="58"/>
  <c r="BI104" i="58"/>
  <c r="BH104" i="58"/>
  <c r="BD104" i="58"/>
  <c r="BL103" i="58"/>
  <c r="BK103" i="58"/>
  <c r="BJ103" i="58"/>
  <c r="BS103" i="58" s="1"/>
  <c r="BI103" i="58"/>
  <c r="BH103" i="58"/>
  <c r="BD103" i="58"/>
  <c r="BL102" i="58"/>
  <c r="BK102" i="58"/>
  <c r="BJ102" i="58"/>
  <c r="BI102" i="58"/>
  <c r="BH102" i="58"/>
  <c r="BD102" i="58"/>
  <c r="BL101" i="58"/>
  <c r="BK101" i="58"/>
  <c r="BJ101" i="58"/>
  <c r="BI101" i="58"/>
  <c r="BH101" i="58"/>
  <c r="BD101" i="58"/>
  <c r="BL100" i="58"/>
  <c r="BK100" i="58"/>
  <c r="BJ100" i="58"/>
  <c r="BI100" i="58"/>
  <c r="BH100" i="58"/>
  <c r="BD100" i="58"/>
  <c r="BL99" i="58"/>
  <c r="BK99" i="58"/>
  <c r="BJ99" i="58"/>
  <c r="BI99" i="58"/>
  <c r="BH99" i="58"/>
  <c r="BD99" i="58"/>
  <c r="BL98" i="58"/>
  <c r="BK98" i="58"/>
  <c r="BJ98" i="58"/>
  <c r="BI98" i="58"/>
  <c r="BH98" i="58"/>
  <c r="BD98" i="58"/>
  <c r="BL97" i="58"/>
  <c r="BK97" i="58"/>
  <c r="BJ97" i="58"/>
  <c r="BI97" i="58"/>
  <c r="BH97" i="58"/>
  <c r="BD97" i="58"/>
  <c r="BC80" i="58"/>
  <c r="BL78" i="58"/>
  <c r="BK78" i="58"/>
  <c r="BJ78" i="58"/>
  <c r="BI78" i="58"/>
  <c r="BH78" i="58"/>
  <c r="BD78" i="58"/>
  <c r="BL77" i="58"/>
  <c r="BK77" i="58"/>
  <c r="BJ77" i="58"/>
  <c r="BI77" i="58"/>
  <c r="BH77" i="58"/>
  <c r="BD77" i="58"/>
  <c r="BL76" i="58"/>
  <c r="BK76" i="58"/>
  <c r="BF76" i="58" s="1"/>
  <c r="BJ76" i="58"/>
  <c r="BI76" i="58"/>
  <c r="BH76" i="58"/>
  <c r="BD76" i="58"/>
  <c r="BL75" i="58"/>
  <c r="BK75" i="58"/>
  <c r="BJ75" i="58"/>
  <c r="BI75" i="58"/>
  <c r="BH75" i="58"/>
  <c r="BD75" i="58"/>
  <c r="BL74" i="58"/>
  <c r="BK74" i="58"/>
  <c r="BJ74" i="58"/>
  <c r="BI74" i="58"/>
  <c r="BH74" i="58"/>
  <c r="BD74" i="58"/>
  <c r="BL73" i="58"/>
  <c r="BK73" i="58"/>
  <c r="BO73" i="58" s="1"/>
  <c r="BJ73" i="58"/>
  <c r="BI73" i="58"/>
  <c r="BH73" i="58"/>
  <c r="BD73" i="58"/>
  <c r="BL72" i="58"/>
  <c r="BK72" i="58"/>
  <c r="BJ72" i="58"/>
  <c r="BI72" i="58"/>
  <c r="BH72" i="58"/>
  <c r="BD72" i="58"/>
  <c r="BL71" i="58"/>
  <c r="BK71" i="58"/>
  <c r="BJ71" i="58"/>
  <c r="BI71" i="58"/>
  <c r="BH71" i="58"/>
  <c r="BD71" i="58"/>
  <c r="BL70" i="58"/>
  <c r="BK70" i="58"/>
  <c r="BJ70" i="58"/>
  <c r="BI70" i="58"/>
  <c r="BS70" i="58" s="1"/>
  <c r="BH70" i="58"/>
  <c r="BD70" i="58"/>
  <c r="BL69" i="58"/>
  <c r="BK69" i="58"/>
  <c r="BJ69" i="58"/>
  <c r="BI69" i="58"/>
  <c r="BH69" i="58"/>
  <c r="BD69" i="58"/>
  <c r="BL68" i="58"/>
  <c r="BK68" i="58"/>
  <c r="BJ68" i="58"/>
  <c r="BI68" i="58"/>
  <c r="BH68" i="58"/>
  <c r="BD68" i="58"/>
  <c r="BL67" i="58"/>
  <c r="BK67" i="58"/>
  <c r="BJ67" i="58"/>
  <c r="BI67" i="58"/>
  <c r="BH67" i="58"/>
  <c r="BD67" i="58"/>
  <c r="BC50" i="58"/>
  <c r="BL48" i="58"/>
  <c r="BK48" i="58"/>
  <c r="BJ48" i="58"/>
  <c r="BI48" i="58"/>
  <c r="BH48" i="58"/>
  <c r="BD48" i="58"/>
  <c r="BL47" i="58"/>
  <c r="BK47" i="58"/>
  <c r="BJ47" i="58"/>
  <c r="BI47" i="58"/>
  <c r="BH47" i="58"/>
  <c r="BD47" i="58"/>
  <c r="BL46" i="58"/>
  <c r="BK46" i="58"/>
  <c r="BJ46" i="58"/>
  <c r="BI46" i="58"/>
  <c r="BH46" i="58"/>
  <c r="BD46" i="58"/>
  <c r="BL45" i="58"/>
  <c r="BK45" i="58"/>
  <c r="BJ45" i="58"/>
  <c r="BI45" i="58"/>
  <c r="BH45" i="58"/>
  <c r="BD45" i="58"/>
  <c r="BL44" i="58"/>
  <c r="BK44" i="58"/>
  <c r="BJ44" i="58"/>
  <c r="BI44" i="58"/>
  <c r="BH44" i="58"/>
  <c r="BD44" i="58"/>
  <c r="N11" i="98" s="1"/>
  <c r="O11" i="98" s="1"/>
  <c r="BL43" i="58"/>
  <c r="BF43" i="58" s="1"/>
  <c r="BK43" i="58"/>
  <c r="BJ43" i="58"/>
  <c r="BI43" i="58"/>
  <c r="BH43" i="58"/>
  <c r="BD43" i="58"/>
  <c r="BL42" i="58"/>
  <c r="BK42" i="58"/>
  <c r="BJ42" i="58"/>
  <c r="BI42" i="58"/>
  <c r="BH42" i="58"/>
  <c r="BD42" i="58"/>
  <c r="BL41" i="58"/>
  <c r="BK41" i="58"/>
  <c r="BJ41" i="58"/>
  <c r="BI41" i="58"/>
  <c r="BH41" i="58"/>
  <c r="BD41" i="58"/>
  <c r="BL40" i="58"/>
  <c r="BK40" i="58"/>
  <c r="BJ40" i="58"/>
  <c r="BI40" i="58"/>
  <c r="BH40" i="58"/>
  <c r="BG40" i="58" s="1"/>
  <c r="BD40" i="58"/>
  <c r="BL39" i="58"/>
  <c r="BK39" i="58"/>
  <c r="BJ39" i="58"/>
  <c r="BI39" i="58"/>
  <c r="BH39" i="58"/>
  <c r="BD39" i="58"/>
  <c r="BL38" i="58"/>
  <c r="BK38" i="58"/>
  <c r="BJ38" i="58"/>
  <c r="BI38" i="58"/>
  <c r="BH38" i="58"/>
  <c r="BD38" i="58"/>
  <c r="BL37" i="58"/>
  <c r="BK37" i="58"/>
  <c r="BJ37" i="58"/>
  <c r="BI37" i="58"/>
  <c r="BH37" i="58"/>
  <c r="BD37" i="58"/>
  <c r="BC20" i="58"/>
  <c r="BL18" i="58"/>
  <c r="BK18" i="58"/>
  <c r="BJ18" i="58"/>
  <c r="BI18" i="58"/>
  <c r="BH18" i="58"/>
  <c r="BD18" i="58"/>
  <c r="BL17" i="58"/>
  <c r="BK17" i="58"/>
  <c r="BJ17" i="58"/>
  <c r="BI17" i="58"/>
  <c r="BH17" i="58"/>
  <c r="BD17" i="58"/>
  <c r="BL16" i="58"/>
  <c r="BK16" i="58"/>
  <c r="BJ16" i="58"/>
  <c r="BI16" i="58"/>
  <c r="BH16" i="58"/>
  <c r="BD16" i="58"/>
  <c r="BL15" i="58"/>
  <c r="BK15" i="58"/>
  <c r="BJ15" i="58"/>
  <c r="BI15" i="58"/>
  <c r="BH15" i="58"/>
  <c r="BD15" i="58"/>
  <c r="BL14" i="58"/>
  <c r="BK14" i="58"/>
  <c r="BJ14" i="58"/>
  <c r="BI14" i="58"/>
  <c r="BH14" i="58"/>
  <c r="BD14" i="58"/>
  <c r="BL13" i="58"/>
  <c r="BK13" i="58"/>
  <c r="BJ13" i="58"/>
  <c r="BI13" i="58"/>
  <c r="BH13" i="58"/>
  <c r="BD13" i="58"/>
  <c r="BL12" i="58"/>
  <c r="BK12" i="58"/>
  <c r="BJ12" i="58"/>
  <c r="BI12" i="58"/>
  <c r="BH12" i="58"/>
  <c r="BD12" i="58"/>
  <c r="BL11" i="58"/>
  <c r="BK11" i="58"/>
  <c r="BJ11" i="58"/>
  <c r="BI11" i="58"/>
  <c r="BH11" i="58"/>
  <c r="BD11" i="58"/>
  <c r="BL10" i="58"/>
  <c r="BK10" i="58"/>
  <c r="BJ10" i="58"/>
  <c r="BI10" i="58"/>
  <c r="BH10" i="58"/>
  <c r="BD10" i="58"/>
  <c r="BL9" i="58"/>
  <c r="BK9" i="58"/>
  <c r="BJ9" i="58"/>
  <c r="BI9" i="58"/>
  <c r="BH9" i="58"/>
  <c r="BD9" i="58"/>
  <c r="BL8" i="58"/>
  <c r="BK8" i="58"/>
  <c r="BJ8" i="58"/>
  <c r="BI8" i="58"/>
  <c r="BH8" i="58"/>
  <c r="BD8" i="58"/>
  <c r="BL7" i="58"/>
  <c r="BK7" i="58"/>
  <c r="BO7" i="58" s="1"/>
  <c r="BJ7" i="58"/>
  <c r="BI7" i="58"/>
  <c r="BH7" i="58"/>
  <c r="BD7" i="58"/>
  <c r="BC170" i="57"/>
  <c r="BL168" i="57"/>
  <c r="BK168" i="57"/>
  <c r="BJ168" i="57"/>
  <c r="BI168" i="57"/>
  <c r="BH168" i="57"/>
  <c r="BD168" i="57"/>
  <c r="BL167" i="57"/>
  <c r="BK167" i="57"/>
  <c r="BJ167" i="57"/>
  <c r="BI167" i="57"/>
  <c r="BH167" i="57"/>
  <c r="BD167" i="57"/>
  <c r="BL166" i="57"/>
  <c r="BK166" i="57"/>
  <c r="BJ166" i="57"/>
  <c r="BI166" i="57"/>
  <c r="BH166" i="57"/>
  <c r="BD166" i="57"/>
  <c r="BL165" i="57"/>
  <c r="BK165" i="57"/>
  <c r="BJ165" i="57"/>
  <c r="BI165" i="57"/>
  <c r="BH165" i="57"/>
  <c r="BD165" i="57"/>
  <c r="BL164" i="57"/>
  <c r="BK164" i="57"/>
  <c r="BJ164" i="57"/>
  <c r="BI164" i="57"/>
  <c r="BH164" i="57"/>
  <c r="BD164" i="57"/>
  <c r="BL163" i="57"/>
  <c r="BK163" i="57"/>
  <c r="BJ163" i="57"/>
  <c r="BI163" i="57"/>
  <c r="BH163" i="57"/>
  <c r="BD163" i="57"/>
  <c r="BL162" i="57"/>
  <c r="BK162" i="57"/>
  <c r="BJ162" i="57"/>
  <c r="BI162" i="57"/>
  <c r="BH162" i="57"/>
  <c r="BD162" i="57"/>
  <c r="BL161" i="57"/>
  <c r="BK161" i="57"/>
  <c r="BJ161" i="57"/>
  <c r="BI161" i="57"/>
  <c r="BH161" i="57"/>
  <c r="BD161" i="57"/>
  <c r="BL160" i="57"/>
  <c r="BK160" i="57"/>
  <c r="BJ160" i="57"/>
  <c r="BI160" i="57"/>
  <c r="BH160" i="57"/>
  <c r="BD160" i="57"/>
  <c r="BL159" i="57"/>
  <c r="BK159" i="57"/>
  <c r="BJ159" i="57"/>
  <c r="BI159" i="57"/>
  <c r="BH159" i="57"/>
  <c r="BD159" i="57"/>
  <c r="BL158" i="57"/>
  <c r="BK158" i="57"/>
  <c r="BJ158" i="57"/>
  <c r="BI158" i="57"/>
  <c r="BH158" i="57"/>
  <c r="BD158" i="57"/>
  <c r="BL157" i="57"/>
  <c r="BK157" i="57"/>
  <c r="BJ157" i="57"/>
  <c r="BI157" i="57"/>
  <c r="BH157" i="57"/>
  <c r="BD157" i="57"/>
  <c r="BC140" i="57"/>
  <c r="BL138" i="57"/>
  <c r="BK138" i="57"/>
  <c r="BJ138" i="57"/>
  <c r="BI138" i="57"/>
  <c r="BH138" i="57"/>
  <c r="BD138" i="57"/>
  <c r="BL137" i="57"/>
  <c r="BO137" i="57" s="1"/>
  <c r="BK137" i="57"/>
  <c r="BJ137" i="57"/>
  <c r="BI137" i="57"/>
  <c r="BH137" i="57"/>
  <c r="BD137" i="57"/>
  <c r="BL136" i="57"/>
  <c r="BK136" i="57"/>
  <c r="BJ136" i="57"/>
  <c r="BI136" i="57"/>
  <c r="BH136" i="57"/>
  <c r="BD136" i="57"/>
  <c r="BL135" i="57"/>
  <c r="BK135" i="57"/>
  <c r="BJ135" i="57"/>
  <c r="BI135" i="57"/>
  <c r="BH135" i="57"/>
  <c r="BD135" i="57"/>
  <c r="BL134" i="57"/>
  <c r="BK134" i="57"/>
  <c r="BJ134" i="57"/>
  <c r="BI134" i="57"/>
  <c r="BH134" i="57"/>
  <c r="BD134" i="57"/>
  <c r="BL133" i="57"/>
  <c r="BK133" i="57"/>
  <c r="BJ133" i="57"/>
  <c r="BI133" i="57"/>
  <c r="BH133" i="57"/>
  <c r="BD133" i="57"/>
  <c r="BL132" i="57"/>
  <c r="BK132" i="57"/>
  <c r="BJ132" i="57"/>
  <c r="BI132" i="57"/>
  <c r="BH132" i="57"/>
  <c r="BD132" i="57"/>
  <c r="BL131" i="57"/>
  <c r="BK131" i="57"/>
  <c r="BJ131" i="57"/>
  <c r="BI131" i="57"/>
  <c r="BH131" i="57"/>
  <c r="BD131" i="57"/>
  <c r="BL130" i="57"/>
  <c r="BK130" i="57"/>
  <c r="BJ130" i="57"/>
  <c r="BI130" i="57"/>
  <c r="BH130" i="57"/>
  <c r="BD130" i="57"/>
  <c r="BL129" i="57"/>
  <c r="BK129" i="57"/>
  <c r="BJ129" i="57"/>
  <c r="BI129" i="57"/>
  <c r="BH129" i="57"/>
  <c r="BD129" i="57"/>
  <c r="BL128" i="57"/>
  <c r="BK128" i="57"/>
  <c r="BJ128" i="57"/>
  <c r="BI128" i="57"/>
  <c r="BH128" i="57"/>
  <c r="BD128" i="57"/>
  <c r="BL127" i="57"/>
  <c r="BK127" i="57"/>
  <c r="BJ127" i="57"/>
  <c r="BI127" i="57"/>
  <c r="BH127" i="57"/>
  <c r="BD127" i="57"/>
  <c r="BC110" i="57"/>
  <c r="BL108" i="57"/>
  <c r="BK108" i="57"/>
  <c r="BJ108" i="57"/>
  <c r="BI108" i="57"/>
  <c r="BH108" i="57"/>
  <c r="BD108" i="57"/>
  <c r="BL107" i="57"/>
  <c r="BK107" i="57"/>
  <c r="BJ107" i="57"/>
  <c r="BI107" i="57"/>
  <c r="BH107" i="57"/>
  <c r="BD107" i="57"/>
  <c r="BL106" i="57"/>
  <c r="BK106" i="57"/>
  <c r="BJ106" i="57"/>
  <c r="BI106" i="57"/>
  <c r="BH106" i="57"/>
  <c r="BD106" i="57"/>
  <c r="BL105" i="57"/>
  <c r="BK105" i="57"/>
  <c r="BJ105" i="57"/>
  <c r="BI105" i="57"/>
  <c r="BH105" i="57"/>
  <c r="BD105" i="57"/>
  <c r="BL104" i="57"/>
  <c r="BK104" i="57"/>
  <c r="BJ104" i="57"/>
  <c r="BI104" i="57"/>
  <c r="BH104" i="57"/>
  <c r="BD104" i="57"/>
  <c r="BL103" i="57"/>
  <c r="BK103" i="57"/>
  <c r="BJ103" i="57"/>
  <c r="BI103" i="57"/>
  <c r="BH103" i="57"/>
  <c r="BD103" i="57"/>
  <c r="BL102" i="57"/>
  <c r="BK102" i="57"/>
  <c r="BJ102" i="57"/>
  <c r="BI102" i="57"/>
  <c r="BH102" i="57"/>
  <c r="BD102" i="57"/>
  <c r="BL101" i="57"/>
  <c r="BK101" i="57"/>
  <c r="BJ101" i="57"/>
  <c r="BI101" i="57"/>
  <c r="BH101" i="57"/>
  <c r="BT101" i="57" s="1"/>
  <c r="BD101" i="57"/>
  <c r="BL100" i="57"/>
  <c r="BK100" i="57"/>
  <c r="BJ100" i="57"/>
  <c r="BI100" i="57"/>
  <c r="BH100" i="57"/>
  <c r="BD100" i="57"/>
  <c r="BL99" i="57"/>
  <c r="BK99" i="57"/>
  <c r="BJ99" i="57"/>
  <c r="BI99" i="57"/>
  <c r="BH99" i="57"/>
  <c r="BD99" i="57"/>
  <c r="BL98" i="57"/>
  <c r="BK98" i="57"/>
  <c r="BJ98" i="57"/>
  <c r="BI98" i="57"/>
  <c r="BH98" i="57"/>
  <c r="BD98" i="57"/>
  <c r="BL97" i="57"/>
  <c r="BK97" i="57"/>
  <c r="BJ97" i="57"/>
  <c r="BI97" i="57"/>
  <c r="BH97" i="57"/>
  <c r="BD97" i="57"/>
  <c r="BC80" i="57"/>
  <c r="BL78" i="57"/>
  <c r="BK78" i="57"/>
  <c r="BJ78" i="57"/>
  <c r="BI78" i="57"/>
  <c r="BH78" i="57"/>
  <c r="BD78" i="57"/>
  <c r="BL77" i="57"/>
  <c r="BK77" i="57"/>
  <c r="BJ77" i="57"/>
  <c r="BI77" i="57"/>
  <c r="BH77" i="57"/>
  <c r="BD77" i="57"/>
  <c r="BL76" i="57"/>
  <c r="BK76" i="57"/>
  <c r="BJ76" i="57"/>
  <c r="BI76" i="57"/>
  <c r="BH76" i="57"/>
  <c r="BD76" i="57"/>
  <c r="BL75" i="57"/>
  <c r="BK75" i="57"/>
  <c r="BJ75" i="57"/>
  <c r="BI75" i="57"/>
  <c r="BH75" i="57"/>
  <c r="BD75" i="57"/>
  <c r="BL74" i="57"/>
  <c r="BK74" i="57"/>
  <c r="BJ74" i="57"/>
  <c r="BI74" i="57"/>
  <c r="BH74" i="57"/>
  <c r="BD74" i="57"/>
  <c r="BL73" i="57"/>
  <c r="BK73" i="57"/>
  <c r="BJ73" i="57"/>
  <c r="BI73" i="57"/>
  <c r="BH73" i="57"/>
  <c r="BD73" i="57"/>
  <c r="BL72" i="57"/>
  <c r="BK72" i="57"/>
  <c r="BJ72" i="57"/>
  <c r="BI72" i="57"/>
  <c r="BH72" i="57"/>
  <c r="BD72" i="57"/>
  <c r="BL71" i="57"/>
  <c r="BK71" i="57"/>
  <c r="BJ71" i="57"/>
  <c r="BI71" i="57"/>
  <c r="BH71" i="57"/>
  <c r="BD71" i="57"/>
  <c r="BL70" i="57"/>
  <c r="BK70" i="57"/>
  <c r="BJ70" i="57"/>
  <c r="BI70" i="57"/>
  <c r="BH70" i="57"/>
  <c r="BD70" i="57"/>
  <c r="BL69" i="57"/>
  <c r="BK69" i="57"/>
  <c r="BJ69" i="57"/>
  <c r="BI69" i="57"/>
  <c r="BH69" i="57"/>
  <c r="BD69" i="57"/>
  <c r="BL68" i="57"/>
  <c r="BK68" i="57"/>
  <c r="BJ68" i="57"/>
  <c r="BI68" i="57"/>
  <c r="BH68" i="57"/>
  <c r="BD68" i="57"/>
  <c r="BL67" i="57"/>
  <c r="BK67" i="57"/>
  <c r="BJ67" i="57"/>
  <c r="BI67" i="57"/>
  <c r="BH67" i="57"/>
  <c r="BD67" i="57"/>
  <c r="BC50" i="57"/>
  <c r="BL48" i="57"/>
  <c r="BK48" i="57"/>
  <c r="BJ48" i="57"/>
  <c r="BI48" i="57"/>
  <c r="BH48" i="57"/>
  <c r="BD48" i="57"/>
  <c r="BL47" i="57"/>
  <c r="BK47" i="57"/>
  <c r="BJ47" i="57"/>
  <c r="BI47" i="57"/>
  <c r="BH47" i="57"/>
  <c r="BD47" i="57"/>
  <c r="BL46" i="57"/>
  <c r="BK46" i="57"/>
  <c r="BJ46" i="57"/>
  <c r="BI46" i="57"/>
  <c r="BH46" i="57"/>
  <c r="BD46" i="57"/>
  <c r="BL45" i="57"/>
  <c r="BK45" i="57"/>
  <c r="BJ45" i="57"/>
  <c r="BI45" i="57"/>
  <c r="BH45" i="57"/>
  <c r="BD45" i="57"/>
  <c r="BL44" i="57"/>
  <c r="BF44" i="57"/>
  <c r="BK44" i="57"/>
  <c r="BJ44" i="57"/>
  <c r="BI44" i="57"/>
  <c r="BH44" i="57"/>
  <c r="BD44" i="57"/>
  <c r="BL43" i="57"/>
  <c r="BK43" i="57"/>
  <c r="BJ43" i="57"/>
  <c r="BI43" i="57"/>
  <c r="BH43" i="57"/>
  <c r="BD43" i="57"/>
  <c r="BL42" i="57"/>
  <c r="BK42" i="57"/>
  <c r="BJ42" i="57"/>
  <c r="BI42" i="57"/>
  <c r="BH42" i="57"/>
  <c r="BD42" i="57"/>
  <c r="BL41" i="57"/>
  <c r="BK41" i="57"/>
  <c r="BJ41" i="57"/>
  <c r="BI41" i="57"/>
  <c r="BH41" i="57"/>
  <c r="BD41" i="57"/>
  <c r="BL40" i="57"/>
  <c r="BK40" i="57"/>
  <c r="BJ40" i="57"/>
  <c r="BI40" i="57"/>
  <c r="BH40" i="57"/>
  <c r="BD40" i="57"/>
  <c r="BL39" i="57"/>
  <c r="BK39" i="57"/>
  <c r="BJ39" i="57"/>
  <c r="BI39" i="57"/>
  <c r="BH39" i="57"/>
  <c r="BD39" i="57"/>
  <c r="BL38" i="57"/>
  <c r="BK38" i="57"/>
  <c r="BJ38" i="57"/>
  <c r="BI38" i="57"/>
  <c r="BH38" i="57"/>
  <c r="BD38" i="57"/>
  <c r="BL37" i="57"/>
  <c r="BK37" i="57"/>
  <c r="BJ37" i="57"/>
  <c r="BI37" i="57"/>
  <c r="BH37" i="57"/>
  <c r="BD37" i="57"/>
  <c r="BC20" i="57"/>
  <c r="BL18" i="57"/>
  <c r="BK18" i="57"/>
  <c r="BJ18" i="57"/>
  <c r="BI18" i="57"/>
  <c r="BH18" i="57"/>
  <c r="BD18" i="57"/>
  <c r="BL17" i="57"/>
  <c r="BK17" i="57"/>
  <c r="BJ17" i="57"/>
  <c r="BI17" i="57"/>
  <c r="BH17" i="57"/>
  <c r="BD17" i="57"/>
  <c r="BL16" i="57"/>
  <c r="BK16" i="57"/>
  <c r="BS16" i="57" s="1"/>
  <c r="BJ16" i="57"/>
  <c r="BI16" i="57"/>
  <c r="BH16" i="57"/>
  <c r="BD16" i="57"/>
  <c r="BL15" i="57"/>
  <c r="BK15" i="57"/>
  <c r="BJ15" i="57"/>
  <c r="BI15" i="57"/>
  <c r="BH15" i="57"/>
  <c r="BD15" i="57"/>
  <c r="BL14" i="57"/>
  <c r="BK14" i="57"/>
  <c r="BJ14" i="57"/>
  <c r="BI14" i="57"/>
  <c r="BH14" i="57"/>
  <c r="BD14" i="57"/>
  <c r="BL13" i="57"/>
  <c r="BK13" i="57"/>
  <c r="BJ13" i="57"/>
  <c r="BI13" i="57"/>
  <c r="BH13" i="57"/>
  <c r="BD13" i="57"/>
  <c r="BL12" i="57"/>
  <c r="BK12" i="57"/>
  <c r="BJ12" i="57"/>
  <c r="BI12" i="57"/>
  <c r="BH12" i="57"/>
  <c r="BD12" i="57"/>
  <c r="BL11" i="57"/>
  <c r="BK11" i="57"/>
  <c r="BJ11" i="57"/>
  <c r="BI11" i="57"/>
  <c r="BH11" i="57"/>
  <c r="BD11" i="57"/>
  <c r="BL10" i="57"/>
  <c r="BK10" i="57"/>
  <c r="BJ10" i="57"/>
  <c r="BI10" i="57"/>
  <c r="BH10" i="57"/>
  <c r="BD10" i="57"/>
  <c r="BL9" i="57"/>
  <c r="BK9" i="57"/>
  <c r="BJ9" i="57"/>
  <c r="BI9" i="57"/>
  <c r="BH9" i="57"/>
  <c r="BD9" i="57"/>
  <c r="BL8" i="57"/>
  <c r="BK8" i="57"/>
  <c r="BJ8" i="57"/>
  <c r="BI8" i="57"/>
  <c r="BH8" i="57"/>
  <c r="BD8" i="57"/>
  <c r="BL7" i="57"/>
  <c r="BK7" i="57"/>
  <c r="BJ7" i="57"/>
  <c r="BI7" i="57"/>
  <c r="BH7" i="57"/>
  <c r="BD7" i="57"/>
  <c r="BC170" i="55"/>
  <c r="BL168" i="55"/>
  <c r="BK168" i="55"/>
  <c r="BJ168" i="55"/>
  <c r="BI168" i="55"/>
  <c r="BH168" i="55"/>
  <c r="BD168" i="55"/>
  <c r="BL167" i="55"/>
  <c r="BK167" i="55"/>
  <c r="BJ167" i="55"/>
  <c r="BI167" i="55"/>
  <c r="BH167" i="55"/>
  <c r="BD167" i="55"/>
  <c r="BL166" i="55"/>
  <c r="BK166" i="55"/>
  <c r="BJ166" i="55"/>
  <c r="BI166" i="55"/>
  <c r="BH166" i="55"/>
  <c r="BD166" i="55"/>
  <c r="BL165" i="55"/>
  <c r="BK165" i="55"/>
  <c r="BJ165" i="55"/>
  <c r="BI165" i="55"/>
  <c r="BH165" i="55"/>
  <c r="BD165" i="55"/>
  <c r="BL164" i="55"/>
  <c r="BK164" i="55"/>
  <c r="BJ164" i="55"/>
  <c r="BI164" i="55"/>
  <c r="BH164" i="55"/>
  <c r="BD164" i="55"/>
  <c r="BL163" i="55"/>
  <c r="BK163" i="55"/>
  <c r="BJ163" i="55"/>
  <c r="BI163" i="55"/>
  <c r="BH163" i="55"/>
  <c r="BD163" i="55"/>
  <c r="BL162" i="55"/>
  <c r="BK162" i="55"/>
  <c r="BJ162" i="55"/>
  <c r="BI162" i="55"/>
  <c r="BH162" i="55"/>
  <c r="BD162" i="55"/>
  <c r="BL161" i="55"/>
  <c r="BK161" i="55"/>
  <c r="BJ161" i="55"/>
  <c r="BI161" i="55"/>
  <c r="BH161" i="55"/>
  <c r="BD161" i="55"/>
  <c r="BL160" i="55"/>
  <c r="BK160" i="55"/>
  <c r="BJ160" i="55"/>
  <c r="BI160" i="55"/>
  <c r="BH160" i="55"/>
  <c r="BD160" i="55"/>
  <c r="BL159" i="55"/>
  <c r="BK159" i="55"/>
  <c r="BJ159" i="55"/>
  <c r="BI159" i="55"/>
  <c r="BH159" i="55"/>
  <c r="BD159" i="55"/>
  <c r="BL158" i="55"/>
  <c r="BK158" i="55"/>
  <c r="BJ158" i="55"/>
  <c r="BI158" i="55"/>
  <c r="BH158" i="55"/>
  <c r="BD158" i="55"/>
  <c r="BL157" i="55"/>
  <c r="BK157" i="55"/>
  <c r="BJ157" i="55"/>
  <c r="BI157" i="55"/>
  <c r="BH157" i="55"/>
  <c r="BD157" i="55"/>
  <c r="BC140" i="55"/>
  <c r="BL138" i="55"/>
  <c r="BK138" i="55"/>
  <c r="BJ138" i="55"/>
  <c r="BI138" i="55"/>
  <c r="BH138" i="55"/>
  <c r="BD138" i="55"/>
  <c r="BL137" i="55"/>
  <c r="BK137" i="55"/>
  <c r="BJ137" i="55"/>
  <c r="BI137" i="55"/>
  <c r="BH137" i="55"/>
  <c r="BD137" i="55"/>
  <c r="BL136" i="55"/>
  <c r="BK136" i="55"/>
  <c r="BJ136" i="55"/>
  <c r="BI136" i="55"/>
  <c r="BH136" i="55"/>
  <c r="BD136" i="55"/>
  <c r="BL135" i="55"/>
  <c r="BK135" i="55"/>
  <c r="BJ135" i="55"/>
  <c r="BI135" i="55"/>
  <c r="BH135" i="55"/>
  <c r="BD135" i="55"/>
  <c r="BL134" i="55"/>
  <c r="BK134" i="55"/>
  <c r="BJ134" i="55"/>
  <c r="BI134" i="55"/>
  <c r="BH134" i="55"/>
  <c r="BD134" i="55"/>
  <c r="BL133" i="55"/>
  <c r="BK133" i="55"/>
  <c r="BJ133" i="55"/>
  <c r="BI133" i="55"/>
  <c r="BH133" i="55"/>
  <c r="BD133" i="55"/>
  <c r="BL132" i="55"/>
  <c r="BK132" i="55"/>
  <c r="BJ132" i="55"/>
  <c r="BI132" i="55"/>
  <c r="BH132" i="55"/>
  <c r="BD132" i="55"/>
  <c r="BL131" i="55"/>
  <c r="BK131" i="55"/>
  <c r="BJ131" i="55"/>
  <c r="BI131" i="55"/>
  <c r="BH131" i="55"/>
  <c r="BD131" i="55"/>
  <c r="BL130" i="55"/>
  <c r="BK130" i="55"/>
  <c r="BJ130" i="55"/>
  <c r="BI130" i="55"/>
  <c r="BH130" i="55"/>
  <c r="BD130" i="55"/>
  <c r="BL129" i="55"/>
  <c r="BK129" i="55"/>
  <c r="BJ129" i="55"/>
  <c r="BI129" i="55"/>
  <c r="BH129" i="55"/>
  <c r="BD129" i="55"/>
  <c r="BL128" i="55"/>
  <c r="BK128" i="55"/>
  <c r="BJ128" i="55"/>
  <c r="BI128" i="55"/>
  <c r="BH128" i="55"/>
  <c r="BD128" i="55"/>
  <c r="BL127" i="55"/>
  <c r="BK127" i="55"/>
  <c r="BJ127" i="55"/>
  <c r="BI127" i="55"/>
  <c r="BH127" i="55"/>
  <c r="BD127" i="55"/>
  <c r="BC110" i="55"/>
  <c r="BL108" i="55"/>
  <c r="BK108" i="55"/>
  <c r="BJ108" i="55"/>
  <c r="BI108" i="55"/>
  <c r="BH108" i="55"/>
  <c r="BD108" i="55"/>
  <c r="BL107" i="55"/>
  <c r="BK107" i="55"/>
  <c r="BJ107" i="55"/>
  <c r="BI107" i="55"/>
  <c r="BH107" i="55"/>
  <c r="BD107" i="55"/>
  <c r="BL106" i="55"/>
  <c r="BK106" i="55"/>
  <c r="BJ106" i="55"/>
  <c r="BI106" i="55"/>
  <c r="BH106" i="55"/>
  <c r="BD106" i="55"/>
  <c r="BL105" i="55"/>
  <c r="BK105" i="55"/>
  <c r="BJ105" i="55"/>
  <c r="BI105" i="55"/>
  <c r="BH105" i="55"/>
  <c r="BD105" i="55"/>
  <c r="BL104" i="55"/>
  <c r="BK104" i="55"/>
  <c r="BJ104" i="55"/>
  <c r="BI104" i="55"/>
  <c r="BH104" i="55"/>
  <c r="BD104" i="55"/>
  <c r="BL103" i="55"/>
  <c r="BK103" i="55"/>
  <c r="BJ103" i="55"/>
  <c r="BI103" i="55"/>
  <c r="BH103" i="55"/>
  <c r="BD103" i="55"/>
  <c r="BL102" i="55"/>
  <c r="BK102" i="55"/>
  <c r="BJ102" i="55"/>
  <c r="BI102" i="55"/>
  <c r="BH102" i="55"/>
  <c r="BD102" i="55"/>
  <c r="BL101" i="55"/>
  <c r="BK101" i="55"/>
  <c r="BJ101" i="55"/>
  <c r="BI101" i="55"/>
  <c r="BH101" i="55"/>
  <c r="BD101" i="55"/>
  <c r="BL100" i="55"/>
  <c r="BK100" i="55"/>
  <c r="BJ100" i="55"/>
  <c r="BI100" i="55"/>
  <c r="BH100" i="55"/>
  <c r="BD100" i="55"/>
  <c r="BL99" i="55"/>
  <c r="BK99" i="55"/>
  <c r="BJ99" i="55"/>
  <c r="BI99" i="55"/>
  <c r="BH99" i="55"/>
  <c r="BD99" i="55"/>
  <c r="BL98" i="55"/>
  <c r="BK98" i="55"/>
  <c r="BJ98" i="55"/>
  <c r="BI98" i="55"/>
  <c r="BH98" i="55"/>
  <c r="BD98" i="55"/>
  <c r="BL97" i="55"/>
  <c r="BK97" i="55"/>
  <c r="BJ97" i="55"/>
  <c r="BI97" i="55"/>
  <c r="BH97" i="55"/>
  <c r="BD97" i="55"/>
  <c r="BC80" i="55"/>
  <c r="BL78" i="55"/>
  <c r="BK78" i="55"/>
  <c r="BJ78" i="55"/>
  <c r="BI78" i="55"/>
  <c r="BH78" i="55"/>
  <c r="BD78" i="55"/>
  <c r="BL77" i="55"/>
  <c r="BK77" i="55"/>
  <c r="BJ77" i="55"/>
  <c r="BI77" i="55"/>
  <c r="BH77" i="55"/>
  <c r="BD77" i="55"/>
  <c r="BL76" i="55"/>
  <c r="BK76" i="55"/>
  <c r="BJ76" i="55"/>
  <c r="BI76" i="55"/>
  <c r="BH76" i="55"/>
  <c r="BD76" i="55"/>
  <c r="BL75" i="55"/>
  <c r="BK75" i="55"/>
  <c r="BJ75" i="55"/>
  <c r="BI75" i="55"/>
  <c r="BH75" i="55"/>
  <c r="BD75" i="55"/>
  <c r="BL74" i="55"/>
  <c r="BK74" i="55"/>
  <c r="BJ74" i="55"/>
  <c r="BI74" i="55"/>
  <c r="BH74" i="55"/>
  <c r="BD74" i="55"/>
  <c r="BL73" i="55"/>
  <c r="BK73" i="55"/>
  <c r="BJ73" i="55"/>
  <c r="BI73" i="55"/>
  <c r="BH73" i="55"/>
  <c r="BD73" i="55"/>
  <c r="BL72" i="55"/>
  <c r="BK72" i="55"/>
  <c r="BJ72" i="55"/>
  <c r="BI72" i="55"/>
  <c r="BH72" i="55"/>
  <c r="BD72" i="55"/>
  <c r="BL71" i="55"/>
  <c r="BK71" i="55"/>
  <c r="BJ71" i="55"/>
  <c r="BI71" i="55"/>
  <c r="BH71" i="55"/>
  <c r="BD71" i="55"/>
  <c r="BL70" i="55"/>
  <c r="BK70" i="55"/>
  <c r="BJ70" i="55"/>
  <c r="BI70" i="55"/>
  <c r="BH70" i="55"/>
  <c r="BD70" i="55"/>
  <c r="BL69" i="55"/>
  <c r="BK69" i="55"/>
  <c r="BJ69" i="55"/>
  <c r="BI69" i="55"/>
  <c r="BH69" i="55"/>
  <c r="BD69" i="55"/>
  <c r="BL68" i="55"/>
  <c r="BK68" i="55"/>
  <c r="BJ68" i="55"/>
  <c r="BI68" i="55"/>
  <c r="BH68" i="55"/>
  <c r="BD68" i="55"/>
  <c r="BL67" i="55"/>
  <c r="BK67" i="55"/>
  <c r="BJ67" i="55"/>
  <c r="BI67" i="55"/>
  <c r="BH67" i="55"/>
  <c r="BD67" i="55"/>
  <c r="BC50" i="55"/>
  <c r="BL48" i="55"/>
  <c r="BK48" i="55"/>
  <c r="BJ48" i="55"/>
  <c r="BI48" i="55"/>
  <c r="BH48" i="55"/>
  <c r="BD48" i="55"/>
  <c r="BL47" i="55"/>
  <c r="BK47" i="55"/>
  <c r="BJ47" i="55"/>
  <c r="BI47" i="55"/>
  <c r="BH47" i="55"/>
  <c r="BD47" i="55"/>
  <c r="BL46" i="55"/>
  <c r="BK46" i="55"/>
  <c r="BJ46" i="55"/>
  <c r="BI46" i="55"/>
  <c r="BH46" i="55"/>
  <c r="BD46" i="55"/>
  <c r="BL45" i="55"/>
  <c r="BK45" i="55"/>
  <c r="BJ45" i="55"/>
  <c r="BI45" i="55"/>
  <c r="BH45" i="55"/>
  <c r="BD45" i="55"/>
  <c r="BL44" i="55"/>
  <c r="BK44" i="55"/>
  <c r="BJ44" i="55"/>
  <c r="BI44" i="55"/>
  <c r="BH44" i="55"/>
  <c r="BD44" i="55"/>
  <c r="BL43" i="55"/>
  <c r="BK43" i="55"/>
  <c r="BJ43" i="55"/>
  <c r="BI43" i="55"/>
  <c r="BH43" i="55"/>
  <c r="BD43" i="55"/>
  <c r="BL42" i="55"/>
  <c r="BK42" i="55"/>
  <c r="BJ42" i="55"/>
  <c r="BI42" i="55"/>
  <c r="BH42" i="55"/>
  <c r="BD42" i="55"/>
  <c r="BL41" i="55"/>
  <c r="BK41" i="55"/>
  <c r="BJ41" i="55"/>
  <c r="BI41" i="55"/>
  <c r="BH41" i="55"/>
  <c r="BD41" i="55"/>
  <c r="BL40" i="55"/>
  <c r="BK40" i="55"/>
  <c r="BJ40" i="55"/>
  <c r="BI40" i="55"/>
  <c r="BH40" i="55"/>
  <c r="BD40" i="55"/>
  <c r="BL39" i="55"/>
  <c r="BK39" i="55"/>
  <c r="BJ39" i="55"/>
  <c r="BI39" i="55"/>
  <c r="BH39" i="55"/>
  <c r="BD39" i="55"/>
  <c r="BL38" i="55"/>
  <c r="BK38" i="55"/>
  <c r="BJ38" i="55"/>
  <c r="BI38" i="55"/>
  <c r="BH38" i="55"/>
  <c r="BD38" i="55"/>
  <c r="BL37" i="55"/>
  <c r="BK37" i="55"/>
  <c r="BJ37" i="55"/>
  <c r="BI37" i="55"/>
  <c r="BH37" i="55"/>
  <c r="BD37" i="55"/>
  <c r="BC20" i="55"/>
  <c r="BL18" i="55"/>
  <c r="BK18" i="55"/>
  <c r="BJ18" i="55"/>
  <c r="BI18" i="55"/>
  <c r="BH18" i="55"/>
  <c r="BD18" i="55"/>
  <c r="BL17" i="55"/>
  <c r="BK17" i="55"/>
  <c r="BJ17" i="55"/>
  <c r="BI17" i="55"/>
  <c r="BH17" i="55"/>
  <c r="BD17" i="55"/>
  <c r="BL16" i="55"/>
  <c r="BK16" i="55"/>
  <c r="BJ16" i="55"/>
  <c r="BI16" i="55"/>
  <c r="BH16" i="55"/>
  <c r="BD16" i="55"/>
  <c r="BL15" i="55"/>
  <c r="BK15" i="55"/>
  <c r="BJ15" i="55"/>
  <c r="BI15" i="55"/>
  <c r="BH15" i="55"/>
  <c r="BD15" i="55"/>
  <c r="BL14" i="55"/>
  <c r="BK14" i="55"/>
  <c r="BJ14" i="55"/>
  <c r="BI14" i="55"/>
  <c r="BH14" i="55"/>
  <c r="BD14" i="55"/>
  <c r="BL13" i="55"/>
  <c r="BK13" i="55"/>
  <c r="BJ13" i="55"/>
  <c r="BI13" i="55"/>
  <c r="BH13" i="55"/>
  <c r="BD13" i="55"/>
  <c r="BL12" i="55"/>
  <c r="BK12" i="55"/>
  <c r="BJ12" i="55"/>
  <c r="BI12" i="55"/>
  <c r="BH12" i="55"/>
  <c r="BD12" i="55"/>
  <c r="BL11" i="55"/>
  <c r="BK11" i="55"/>
  <c r="BJ11" i="55"/>
  <c r="BI11" i="55"/>
  <c r="BH11" i="55"/>
  <c r="BD11" i="55"/>
  <c r="BL10" i="55"/>
  <c r="BK10" i="55"/>
  <c r="BJ10" i="55"/>
  <c r="BI10" i="55"/>
  <c r="BH10" i="55"/>
  <c r="BD10" i="55"/>
  <c r="BL9" i="55"/>
  <c r="BK9" i="55"/>
  <c r="BJ9" i="55"/>
  <c r="BI9" i="55"/>
  <c r="BH9" i="55"/>
  <c r="BD9" i="55"/>
  <c r="BL8" i="55"/>
  <c r="BK8" i="55"/>
  <c r="BJ8" i="55"/>
  <c r="BI8" i="55"/>
  <c r="BH8" i="55"/>
  <c r="BD8" i="55"/>
  <c r="BL7" i="55"/>
  <c r="BK7" i="55"/>
  <c r="BJ7" i="55"/>
  <c r="BI7" i="55"/>
  <c r="BH7" i="55"/>
  <c r="BD7" i="55"/>
  <c r="BC170" i="53"/>
  <c r="BL168" i="53"/>
  <c r="BK168" i="53"/>
  <c r="BJ168" i="53"/>
  <c r="BI168" i="53"/>
  <c r="BH168" i="53"/>
  <c r="BD168" i="53"/>
  <c r="BL167" i="53"/>
  <c r="BK167" i="53"/>
  <c r="BJ167" i="53"/>
  <c r="BI167" i="53"/>
  <c r="BH167" i="53"/>
  <c r="BD167" i="53"/>
  <c r="BL166" i="53"/>
  <c r="BK166" i="53"/>
  <c r="BJ166" i="53"/>
  <c r="BI166" i="53"/>
  <c r="BH166" i="53"/>
  <c r="BD166" i="53"/>
  <c r="BL165" i="53"/>
  <c r="BK165" i="53"/>
  <c r="BJ165" i="53"/>
  <c r="BI165" i="53"/>
  <c r="BH165" i="53"/>
  <c r="BD165" i="53"/>
  <c r="BL164" i="53"/>
  <c r="BK164" i="53"/>
  <c r="BJ164" i="53"/>
  <c r="BI164" i="53"/>
  <c r="BH164" i="53"/>
  <c r="BD164" i="53"/>
  <c r="BL163" i="53"/>
  <c r="BK163" i="53"/>
  <c r="BJ163" i="53"/>
  <c r="BI163" i="53"/>
  <c r="BH163" i="53"/>
  <c r="BD163" i="53"/>
  <c r="BL162" i="53"/>
  <c r="BK162" i="53"/>
  <c r="BJ162" i="53"/>
  <c r="BI162" i="53"/>
  <c r="BH162" i="53"/>
  <c r="BD162" i="53"/>
  <c r="BL161" i="53"/>
  <c r="BK161" i="53"/>
  <c r="BJ161" i="53"/>
  <c r="BI161" i="53"/>
  <c r="BH161" i="53"/>
  <c r="BS161" i="53" s="1"/>
  <c r="BD161" i="53"/>
  <c r="BL160" i="53"/>
  <c r="BK160" i="53"/>
  <c r="BJ160" i="53"/>
  <c r="BI160" i="53"/>
  <c r="BH160" i="53"/>
  <c r="BD160" i="53"/>
  <c r="BL159" i="53"/>
  <c r="BK159" i="53"/>
  <c r="BJ159" i="53"/>
  <c r="BI159" i="53"/>
  <c r="BH159" i="53"/>
  <c r="BD159" i="53"/>
  <c r="BL158" i="53"/>
  <c r="BK158" i="53"/>
  <c r="BJ158" i="53"/>
  <c r="BI158" i="53"/>
  <c r="BH158" i="53"/>
  <c r="BD158" i="53"/>
  <c r="BL157" i="53"/>
  <c r="BK157" i="53"/>
  <c r="BJ157" i="53"/>
  <c r="BI157" i="53"/>
  <c r="BH157" i="53"/>
  <c r="BF157" i="53" s="1"/>
  <c r="BD157" i="53"/>
  <c r="BC140" i="53"/>
  <c r="BL138" i="53"/>
  <c r="BK138" i="53"/>
  <c r="BJ138" i="53"/>
  <c r="BI138" i="53"/>
  <c r="BH138" i="53"/>
  <c r="BD138" i="53"/>
  <c r="BL137" i="53"/>
  <c r="BK137" i="53"/>
  <c r="BJ137" i="53"/>
  <c r="BI137" i="53"/>
  <c r="BH137" i="53"/>
  <c r="BD137" i="53"/>
  <c r="BL136" i="53"/>
  <c r="BK136" i="53"/>
  <c r="BJ136" i="53"/>
  <c r="BI136" i="53"/>
  <c r="BH136" i="53"/>
  <c r="BD136" i="53"/>
  <c r="BL135" i="53"/>
  <c r="BK135" i="53"/>
  <c r="BJ135" i="53"/>
  <c r="BI135" i="53"/>
  <c r="BH135" i="53"/>
  <c r="BD135" i="53"/>
  <c r="BL134" i="53"/>
  <c r="BK134" i="53"/>
  <c r="BJ134" i="53"/>
  <c r="BI134" i="53"/>
  <c r="BH134" i="53"/>
  <c r="BD134" i="53"/>
  <c r="BL133" i="53"/>
  <c r="BK133" i="53"/>
  <c r="BJ133" i="53"/>
  <c r="BI133" i="53"/>
  <c r="BH133" i="53"/>
  <c r="BD133" i="53"/>
  <c r="BL132" i="53"/>
  <c r="BK132" i="53"/>
  <c r="BJ132" i="53"/>
  <c r="BI132" i="53"/>
  <c r="BH132" i="53"/>
  <c r="BD132" i="53"/>
  <c r="BL131" i="53"/>
  <c r="BK131" i="53"/>
  <c r="BJ131" i="53"/>
  <c r="BI131" i="53"/>
  <c r="BH131" i="53"/>
  <c r="BD131" i="53"/>
  <c r="BL130" i="53"/>
  <c r="BK130" i="53"/>
  <c r="BJ130" i="53"/>
  <c r="BI130" i="53"/>
  <c r="BH130" i="53"/>
  <c r="BD130" i="53"/>
  <c r="BL129" i="53"/>
  <c r="BK129" i="53"/>
  <c r="BJ129" i="53"/>
  <c r="BI129" i="53"/>
  <c r="BH129" i="53"/>
  <c r="BD129" i="53"/>
  <c r="BL128" i="53"/>
  <c r="BK128" i="53"/>
  <c r="BJ128" i="53"/>
  <c r="BI128" i="53"/>
  <c r="BH128" i="53"/>
  <c r="BD128" i="53"/>
  <c r="BL127" i="53"/>
  <c r="BK127" i="53"/>
  <c r="BJ127" i="53"/>
  <c r="BI127" i="53"/>
  <c r="BH127" i="53"/>
  <c r="BD127" i="53"/>
  <c r="BC110" i="53"/>
  <c r="BL108" i="53"/>
  <c r="BK108" i="53"/>
  <c r="BJ108" i="53"/>
  <c r="BI108" i="53"/>
  <c r="BH108" i="53"/>
  <c r="BD108" i="53"/>
  <c r="BL107" i="53"/>
  <c r="BK107" i="53"/>
  <c r="BJ107" i="53"/>
  <c r="BI107" i="53"/>
  <c r="BH107" i="53"/>
  <c r="BD107" i="53"/>
  <c r="BL106" i="53"/>
  <c r="BK106" i="53"/>
  <c r="BJ106" i="53"/>
  <c r="BI106" i="53"/>
  <c r="BH106" i="53"/>
  <c r="BD106" i="53"/>
  <c r="BL105" i="53"/>
  <c r="BK105" i="53"/>
  <c r="BJ105" i="53"/>
  <c r="BI105" i="53"/>
  <c r="BH105" i="53"/>
  <c r="BD105" i="53"/>
  <c r="BL104" i="53"/>
  <c r="BK104" i="53"/>
  <c r="BJ104" i="53"/>
  <c r="BI104" i="53"/>
  <c r="BH104" i="53"/>
  <c r="BD104" i="53"/>
  <c r="BL103" i="53"/>
  <c r="BK103" i="53"/>
  <c r="BJ103" i="53"/>
  <c r="BI103" i="53"/>
  <c r="BH103" i="53"/>
  <c r="BD103" i="53"/>
  <c r="BL102" i="53"/>
  <c r="BK102" i="53"/>
  <c r="BJ102" i="53"/>
  <c r="BI102" i="53"/>
  <c r="BH102" i="53"/>
  <c r="BD102" i="53"/>
  <c r="BL101" i="53"/>
  <c r="BK101" i="53"/>
  <c r="BJ101" i="53"/>
  <c r="BI101" i="53"/>
  <c r="BH101" i="53"/>
  <c r="BT101" i="53" s="1"/>
  <c r="BD101" i="53"/>
  <c r="BL100" i="53"/>
  <c r="BK100" i="53"/>
  <c r="BJ100" i="53"/>
  <c r="BI100" i="53"/>
  <c r="BH100" i="53"/>
  <c r="BD100" i="53"/>
  <c r="BL99" i="53"/>
  <c r="BK99" i="53"/>
  <c r="BJ99" i="53"/>
  <c r="BI99" i="53"/>
  <c r="BH99" i="53"/>
  <c r="BD99" i="53"/>
  <c r="BL98" i="53"/>
  <c r="BK98" i="53"/>
  <c r="BJ98" i="53"/>
  <c r="BI98" i="53"/>
  <c r="BH98" i="53"/>
  <c r="BO98" i="53" s="1"/>
  <c r="BD98" i="53"/>
  <c r="BL97" i="53"/>
  <c r="BK97" i="53"/>
  <c r="BJ97" i="53"/>
  <c r="BI97" i="53"/>
  <c r="BH97" i="53"/>
  <c r="BD97" i="53"/>
  <c r="BC80" i="53"/>
  <c r="BL78" i="53"/>
  <c r="BK78" i="53"/>
  <c r="BJ78" i="53"/>
  <c r="BI78" i="53"/>
  <c r="BH78" i="53"/>
  <c r="BD78" i="53"/>
  <c r="BL77" i="53"/>
  <c r="BK77" i="53"/>
  <c r="BJ77" i="53"/>
  <c r="BI77" i="53"/>
  <c r="BH77" i="53"/>
  <c r="BD77" i="53"/>
  <c r="BL76" i="53"/>
  <c r="BK76" i="53"/>
  <c r="BS76" i="53" s="1"/>
  <c r="BJ76" i="53"/>
  <c r="BI76" i="53"/>
  <c r="BH76" i="53"/>
  <c r="BD76" i="53"/>
  <c r="BL75" i="53"/>
  <c r="BK75" i="53"/>
  <c r="BJ75" i="53"/>
  <c r="BI75" i="53"/>
  <c r="BH75" i="53"/>
  <c r="BD75" i="53"/>
  <c r="BL74" i="53"/>
  <c r="BK74" i="53"/>
  <c r="BJ74" i="53"/>
  <c r="BI74" i="53"/>
  <c r="BH74" i="53"/>
  <c r="BD74" i="53"/>
  <c r="BL73" i="53"/>
  <c r="BK73" i="53"/>
  <c r="BJ73" i="53"/>
  <c r="BI73" i="53"/>
  <c r="BH73" i="53"/>
  <c r="BD73" i="53"/>
  <c r="BL72" i="53"/>
  <c r="BK72" i="53"/>
  <c r="BJ72" i="53"/>
  <c r="BI72" i="53"/>
  <c r="BH72" i="53"/>
  <c r="BD72" i="53"/>
  <c r="BL71" i="53"/>
  <c r="BK71" i="53"/>
  <c r="BJ71" i="53"/>
  <c r="BI71" i="53"/>
  <c r="BH71" i="53"/>
  <c r="BD71" i="53"/>
  <c r="BL70" i="53"/>
  <c r="BK70" i="53"/>
  <c r="BJ70" i="53"/>
  <c r="BI70" i="53"/>
  <c r="BH70" i="53"/>
  <c r="BD70" i="53"/>
  <c r="BL69" i="53"/>
  <c r="BK69" i="53"/>
  <c r="BJ69" i="53"/>
  <c r="BI69" i="53"/>
  <c r="BS69" i="53" s="1"/>
  <c r="BH69" i="53"/>
  <c r="BD69" i="53"/>
  <c r="BL68" i="53"/>
  <c r="BK68" i="53"/>
  <c r="BJ68" i="53"/>
  <c r="BI68" i="53"/>
  <c r="BH68" i="53"/>
  <c r="BD68" i="53"/>
  <c r="BL67" i="53"/>
  <c r="BK67" i="53"/>
  <c r="BJ67" i="53"/>
  <c r="BI67" i="53"/>
  <c r="BO67" i="53" s="1"/>
  <c r="BH67" i="53"/>
  <c r="BD67" i="53"/>
  <c r="BC50" i="53"/>
  <c r="BL48" i="53"/>
  <c r="BK48" i="53"/>
  <c r="BJ48" i="53"/>
  <c r="BI48" i="53"/>
  <c r="BH48" i="53"/>
  <c r="BD48" i="53"/>
  <c r="BL47" i="53"/>
  <c r="BK47" i="53"/>
  <c r="BJ47" i="53"/>
  <c r="BI47" i="53"/>
  <c r="BH47" i="53"/>
  <c r="BD47" i="53"/>
  <c r="BL46" i="53"/>
  <c r="BK46" i="53"/>
  <c r="BJ46" i="53"/>
  <c r="BI46" i="53"/>
  <c r="BH46" i="53"/>
  <c r="BD46" i="53"/>
  <c r="BL45" i="53"/>
  <c r="BK45" i="53"/>
  <c r="BJ45" i="53"/>
  <c r="BI45" i="53"/>
  <c r="BH45" i="53"/>
  <c r="BD45" i="53"/>
  <c r="BL44" i="53"/>
  <c r="BK44" i="53"/>
  <c r="BJ44" i="53"/>
  <c r="BI44" i="53"/>
  <c r="BF44" i="53" s="1"/>
  <c r="BH44" i="53"/>
  <c r="BD44" i="53"/>
  <c r="BL43" i="53"/>
  <c r="BK43" i="53"/>
  <c r="BJ43" i="53"/>
  <c r="BI43" i="53"/>
  <c r="BH43" i="53"/>
  <c r="BD43" i="53"/>
  <c r="BL42" i="53"/>
  <c r="BK42" i="53"/>
  <c r="BJ42" i="53"/>
  <c r="BI42" i="53"/>
  <c r="BH42" i="53"/>
  <c r="BD42" i="53"/>
  <c r="BL41" i="53"/>
  <c r="BK41" i="53"/>
  <c r="BJ41" i="53"/>
  <c r="BI41" i="53"/>
  <c r="BH41" i="53"/>
  <c r="BO41" i="53" s="1"/>
  <c r="BD41" i="53"/>
  <c r="BL40" i="53"/>
  <c r="BS40" i="53" s="1"/>
  <c r="BK40" i="53"/>
  <c r="BJ40" i="53"/>
  <c r="BI40" i="53"/>
  <c r="BH40" i="53"/>
  <c r="BD40" i="53"/>
  <c r="BL39" i="53"/>
  <c r="BK39" i="53"/>
  <c r="BJ39" i="53"/>
  <c r="BI39" i="53"/>
  <c r="BH39" i="53"/>
  <c r="BD39" i="53"/>
  <c r="BL38" i="53"/>
  <c r="BK38" i="53"/>
  <c r="BJ38" i="53"/>
  <c r="BI38" i="53"/>
  <c r="BH38" i="53"/>
  <c r="BD38" i="53"/>
  <c r="BL37" i="53"/>
  <c r="BK37" i="53"/>
  <c r="BJ37" i="53"/>
  <c r="BI37" i="53"/>
  <c r="BH37" i="53"/>
  <c r="BD37" i="53"/>
  <c r="BC20" i="53"/>
  <c r="BL18" i="53"/>
  <c r="BK18" i="53"/>
  <c r="BJ18" i="53"/>
  <c r="BI18" i="53"/>
  <c r="BH18" i="53"/>
  <c r="BD18" i="53"/>
  <c r="BL17" i="53"/>
  <c r="BK17" i="53"/>
  <c r="BJ17" i="53"/>
  <c r="BI17" i="53"/>
  <c r="BH17" i="53"/>
  <c r="BD17" i="53"/>
  <c r="BL16" i="53"/>
  <c r="BK16" i="53"/>
  <c r="BJ16" i="53"/>
  <c r="BI16" i="53"/>
  <c r="BH16" i="53"/>
  <c r="BD16" i="53"/>
  <c r="BL15" i="53"/>
  <c r="BK15" i="53"/>
  <c r="BJ15" i="53"/>
  <c r="BI15" i="53"/>
  <c r="BH15" i="53"/>
  <c r="BD15" i="53"/>
  <c r="BL14" i="53"/>
  <c r="BK14" i="53"/>
  <c r="BJ14" i="53"/>
  <c r="BI14" i="53"/>
  <c r="BH14" i="53"/>
  <c r="BD14" i="53"/>
  <c r="BL13" i="53"/>
  <c r="BK13" i="53"/>
  <c r="BJ13" i="53"/>
  <c r="BI13" i="53"/>
  <c r="BF13" i="53" s="1"/>
  <c r="BH13" i="53"/>
  <c r="BD13" i="53"/>
  <c r="BL12" i="53"/>
  <c r="BK12" i="53"/>
  <c r="BJ12" i="53"/>
  <c r="BI12" i="53"/>
  <c r="BH12" i="53"/>
  <c r="BD12" i="53"/>
  <c r="BL11" i="53"/>
  <c r="BK11" i="53"/>
  <c r="BJ11" i="53"/>
  <c r="BI11" i="53"/>
  <c r="BH11" i="53"/>
  <c r="BD11" i="53"/>
  <c r="BL10" i="53"/>
  <c r="BK10" i="53"/>
  <c r="BJ10" i="53"/>
  <c r="BI10" i="53"/>
  <c r="BH10" i="53"/>
  <c r="BD10" i="53"/>
  <c r="BL9" i="53"/>
  <c r="BK9" i="53"/>
  <c r="BJ9" i="53"/>
  <c r="BI9" i="53"/>
  <c r="BH9" i="53"/>
  <c r="BD9" i="53"/>
  <c r="BL8" i="53"/>
  <c r="BK8" i="53"/>
  <c r="BJ8" i="53"/>
  <c r="BI8" i="53"/>
  <c r="BH8" i="53"/>
  <c r="BD8" i="53"/>
  <c r="BL7" i="53"/>
  <c r="BK7" i="53"/>
  <c r="BJ7" i="53"/>
  <c r="BI7" i="53"/>
  <c r="BH7" i="53"/>
  <c r="BD7" i="53"/>
  <c r="BC170" i="52"/>
  <c r="BL168" i="52"/>
  <c r="BK168" i="52"/>
  <c r="BJ168" i="52"/>
  <c r="BI168" i="52"/>
  <c r="BH168" i="52"/>
  <c r="BD168" i="52"/>
  <c r="BL167" i="52"/>
  <c r="BK167" i="52"/>
  <c r="BJ167" i="52"/>
  <c r="BI167" i="52"/>
  <c r="BH167" i="52"/>
  <c r="BT167" i="52" s="1"/>
  <c r="BD167" i="52"/>
  <c r="BL166" i="52"/>
  <c r="BK166" i="52"/>
  <c r="BJ166" i="52"/>
  <c r="BI166" i="52"/>
  <c r="BH166" i="52"/>
  <c r="BD166" i="52"/>
  <c r="BL165" i="52"/>
  <c r="BK165" i="52"/>
  <c r="BJ165" i="52"/>
  <c r="BI165" i="52"/>
  <c r="BH165" i="52"/>
  <c r="BD165" i="52"/>
  <c r="BL164" i="52"/>
  <c r="BK164" i="52"/>
  <c r="BJ164" i="52"/>
  <c r="BI164" i="52"/>
  <c r="BH164" i="52"/>
  <c r="BD164" i="52"/>
  <c r="BL163" i="52"/>
  <c r="BK163" i="52"/>
  <c r="BJ163" i="52"/>
  <c r="BI163" i="52"/>
  <c r="BH163" i="52"/>
  <c r="BD163" i="52"/>
  <c r="BL162" i="52"/>
  <c r="BK162" i="52"/>
  <c r="BJ162" i="52"/>
  <c r="BI162" i="52"/>
  <c r="BH162" i="52"/>
  <c r="BD162" i="52"/>
  <c r="BL161" i="52"/>
  <c r="BK161" i="52"/>
  <c r="BJ161" i="52"/>
  <c r="BI161" i="52"/>
  <c r="BH161" i="52"/>
  <c r="BD161" i="52"/>
  <c r="BL160" i="52"/>
  <c r="BK160" i="52"/>
  <c r="BJ160" i="52"/>
  <c r="BI160" i="52"/>
  <c r="BH160" i="52"/>
  <c r="BD160" i="52"/>
  <c r="BL159" i="52"/>
  <c r="BK159" i="52"/>
  <c r="BJ159" i="52"/>
  <c r="BI159" i="52"/>
  <c r="BH159" i="52"/>
  <c r="BT159" i="52" s="1"/>
  <c r="BD159" i="52"/>
  <c r="BL158" i="52"/>
  <c r="BK158" i="52"/>
  <c r="BJ158" i="52"/>
  <c r="BI158" i="52"/>
  <c r="BH158" i="52"/>
  <c r="BD158" i="52"/>
  <c r="BL157" i="52"/>
  <c r="BK157" i="52"/>
  <c r="BJ157" i="52"/>
  <c r="BI157" i="52"/>
  <c r="BH157" i="52"/>
  <c r="BD157" i="52"/>
  <c r="BC140" i="52"/>
  <c r="BL138" i="52"/>
  <c r="BK138" i="52"/>
  <c r="BJ138" i="52"/>
  <c r="BI138" i="52"/>
  <c r="BH138" i="52"/>
  <c r="BD138" i="52"/>
  <c r="BL137" i="52"/>
  <c r="BK137" i="52"/>
  <c r="BJ137" i="52"/>
  <c r="BI137" i="52"/>
  <c r="BH137" i="52"/>
  <c r="BD137" i="52"/>
  <c r="BL136" i="52"/>
  <c r="BK136" i="52"/>
  <c r="BJ136" i="52"/>
  <c r="BI136" i="52"/>
  <c r="BH136" i="52"/>
  <c r="BD136" i="52"/>
  <c r="BL135" i="52"/>
  <c r="BK135" i="52"/>
  <c r="BJ135" i="52"/>
  <c r="BI135" i="52"/>
  <c r="BH135" i="52"/>
  <c r="BD135" i="52"/>
  <c r="BL134" i="52"/>
  <c r="BK134" i="52"/>
  <c r="BJ134" i="52"/>
  <c r="BI134" i="52"/>
  <c r="BH134" i="52"/>
  <c r="BD134" i="52"/>
  <c r="BL133" i="52"/>
  <c r="BK133" i="52"/>
  <c r="BJ133" i="52"/>
  <c r="BI133" i="52"/>
  <c r="BH133" i="52"/>
  <c r="BD133" i="52"/>
  <c r="BL132" i="52"/>
  <c r="BK132" i="52"/>
  <c r="BJ132" i="52"/>
  <c r="BI132" i="52"/>
  <c r="BH132" i="52"/>
  <c r="BD132" i="52"/>
  <c r="BL131" i="52"/>
  <c r="BK131" i="52"/>
  <c r="BJ131" i="52"/>
  <c r="BI131" i="52"/>
  <c r="BH131" i="52"/>
  <c r="BD131" i="52"/>
  <c r="BL130" i="52"/>
  <c r="BK130" i="52"/>
  <c r="BJ130" i="52"/>
  <c r="BI130" i="52"/>
  <c r="BH130" i="52"/>
  <c r="BD130" i="52"/>
  <c r="BL129" i="52"/>
  <c r="BK129" i="52"/>
  <c r="BJ129" i="52"/>
  <c r="BI129" i="52"/>
  <c r="BH129" i="52"/>
  <c r="BD129" i="52"/>
  <c r="BL128" i="52"/>
  <c r="BK128" i="52"/>
  <c r="BJ128" i="52"/>
  <c r="BI128" i="52"/>
  <c r="BH128" i="52"/>
  <c r="BD128" i="52"/>
  <c r="BL127" i="52"/>
  <c r="BK127" i="52"/>
  <c r="BJ127" i="52"/>
  <c r="BI127" i="52"/>
  <c r="BH127" i="52"/>
  <c r="BD127" i="52"/>
  <c r="BC110" i="52"/>
  <c r="BL108" i="52"/>
  <c r="BK108" i="52"/>
  <c r="BJ108" i="52"/>
  <c r="BI108" i="52"/>
  <c r="BH108" i="52"/>
  <c r="BD108" i="52"/>
  <c r="BL107" i="52"/>
  <c r="BK107" i="52"/>
  <c r="BJ107" i="52"/>
  <c r="BI107" i="52"/>
  <c r="BH107" i="52"/>
  <c r="BD107" i="52"/>
  <c r="BL106" i="52"/>
  <c r="BK106" i="52"/>
  <c r="BJ106" i="52"/>
  <c r="BI106" i="52"/>
  <c r="BH106" i="52"/>
  <c r="BD106" i="52"/>
  <c r="BL105" i="52"/>
  <c r="BK105" i="52"/>
  <c r="BJ105" i="52"/>
  <c r="BI105" i="52"/>
  <c r="BH105" i="52"/>
  <c r="BD105" i="52"/>
  <c r="BL104" i="52"/>
  <c r="BK104" i="52"/>
  <c r="BJ104" i="52"/>
  <c r="BI104" i="52"/>
  <c r="BH104" i="52"/>
  <c r="BD104" i="52"/>
  <c r="BL103" i="52"/>
  <c r="BK103" i="52"/>
  <c r="BJ103" i="52"/>
  <c r="BI103" i="52"/>
  <c r="BG103" i="52" s="1"/>
  <c r="BH103" i="52"/>
  <c r="BD103" i="52"/>
  <c r="BL102" i="52"/>
  <c r="BK102" i="52"/>
  <c r="BJ102" i="52"/>
  <c r="BI102" i="52"/>
  <c r="BH102" i="52"/>
  <c r="BD102" i="52"/>
  <c r="BL101" i="52"/>
  <c r="BK101" i="52"/>
  <c r="BJ101" i="52"/>
  <c r="BI101" i="52"/>
  <c r="BH101" i="52"/>
  <c r="BD101" i="52"/>
  <c r="BL100" i="52"/>
  <c r="BK100" i="52"/>
  <c r="BJ100" i="52"/>
  <c r="BI100" i="52"/>
  <c r="BH100" i="52"/>
  <c r="BD100" i="52"/>
  <c r="BL99" i="52"/>
  <c r="BK99" i="52"/>
  <c r="BJ99" i="52"/>
  <c r="BI99" i="52"/>
  <c r="BH99" i="52"/>
  <c r="BD99" i="52"/>
  <c r="BL98" i="52"/>
  <c r="BK98" i="52"/>
  <c r="BJ98" i="52"/>
  <c r="BI98" i="52"/>
  <c r="BH98" i="52"/>
  <c r="BD98" i="52"/>
  <c r="BL97" i="52"/>
  <c r="BK97" i="52"/>
  <c r="BJ97" i="52"/>
  <c r="BI97" i="52"/>
  <c r="BH97" i="52"/>
  <c r="BD97" i="52"/>
  <c r="BC80" i="52"/>
  <c r="BL78" i="52"/>
  <c r="BK78" i="52"/>
  <c r="BJ78" i="52"/>
  <c r="BI78" i="52"/>
  <c r="BH78" i="52"/>
  <c r="BD78" i="52"/>
  <c r="BL77" i="52"/>
  <c r="BK77" i="52"/>
  <c r="BJ77" i="52"/>
  <c r="BI77" i="52"/>
  <c r="BH77" i="52"/>
  <c r="BD77" i="52"/>
  <c r="BL76" i="52"/>
  <c r="BK76" i="52"/>
  <c r="BJ76" i="52"/>
  <c r="BI76" i="52"/>
  <c r="BH76" i="52"/>
  <c r="BD76" i="52"/>
  <c r="BL75" i="52"/>
  <c r="BK75" i="52"/>
  <c r="BJ75" i="52"/>
  <c r="BI75" i="52"/>
  <c r="BH75" i="52"/>
  <c r="BD75" i="52"/>
  <c r="BL74" i="52"/>
  <c r="BK74" i="52"/>
  <c r="BJ74" i="52"/>
  <c r="BI74" i="52"/>
  <c r="BH74" i="52"/>
  <c r="BD74" i="52"/>
  <c r="BL73" i="52"/>
  <c r="BK73" i="52"/>
  <c r="BJ73" i="52"/>
  <c r="BI73" i="52"/>
  <c r="BH73" i="52"/>
  <c r="BD73" i="52"/>
  <c r="BL72" i="52"/>
  <c r="BK72" i="52"/>
  <c r="BJ72" i="52"/>
  <c r="BI72" i="52"/>
  <c r="BH72" i="52"/>
  <c r="BD72" i="52"/>
  <c r="BL71" i="52"/>
  <c r="BK71" i="52"/>
  <c r="BJ71" i="52"/>
  <c r="BI71" i="52"/>
  <c r="BH71" i="52"/>
  <c r="BD71" i="52"/>
  <c r="BL70" i="52"/>
  <c r="BK70" i="52"/>
  <c r="BJ70" i="52"/>
  <c r="BI70" i="52"/>
  <c r="BS70" i="52" s="1"/>
  <c r="BH70" i="52"/>
  <c r="BD70" i="52"/>
  <c r="BL69" i="52"/>
  <c r="BK69" i="52"/>
  <c r="BJ69" i="52"/>
  <c r="BI69" i="52"/>
  <c r="BH69" i="52"/>
  <c r="BO69" i="52" s="1"/>
  <c r="BD69" i="52"/>
  <c r="BL68" i="52"/>
  <c r="BK68" i="52"/>
  <c r="BJ68" i="52"/>
  <c r="BI68" i="52"/>
  <c r="BH68" i="52"/>
  <c r="BD68" i="52"/>
  <c r="BL67" i="52"/>
  <c r="BK67" i="52"/>
  <c r="BJ67" i="52"/>
  <c r="BI67" i="52"/>
  <c r="BH67" i="52"/>
  <c r="BD67" i="52"/>
  <c r="BC50" i="52"/>
  <c r="BL48" i="52"/>
  <c r="BK48" i="52"/>
  <c r="BJ48" i="52"/>
  <c r="BI48" i="52"/>
  <c r="BH48" i="52"/>
  <c r="BD48" i="52"/>
  <c r="BL47" i="52"/>
  <c r="BK47" i="52"/>
  <c r="BJ47" i="52"/>
  <c r="BI47" i="52"/>
  <c r="BH47" i="52"/>
  <c r="BD47" i="52"/>
  <c r="BL46" i="52"/>
  <c r="BK46" i="52"/>
  <c r="BJ46" i="52"/>
  <c r="BI46" i="52"/>
  <c r="BH46" i="52"/>
  <c r="BD46" i="52"/>
  <c r="BL45" i="52"/>
  <c r="BK45" i="52"/>
  <c r="BJ45" i="52"/>
  <c r="BI45" i="52"/>
  <c r="BH45" i="52"/>
  <c r="BD45" i="52"/>
  <c r="BL44" i="52"/>
  <c r="BK44" i="52"/>
  <c r="BJ44" i="52"/>
  <c r="BI44" i="52"/>
  <c r="BH44" i="52"/>
  <c r="BD44" i="52"/>
  <c r="BL43" i="52"/>
  <c r="BK43" i="52"/>
  <c r="BJ43" i="52"/>
  <c r="BI43" i="52"/>
  <c r="BH43" i="52"/>
  <c r="BD43" i="52"/>
  <c r="BL42" i="52"/>
  <c r="BK42" i="52"/>
  <c r="BJ42" i="52"/>
  <c r="BI42" i="52"/>
  <c r="BH42" i="52"/>
  <c r="BD42" i="52"/>
  <c r="BL41" i="52"/>
  <c r="BK41" i="52"/>
  <c r="BJ41" i="52"/>
  <c r="BI41" i="52"/>
  <c r="BH41" i="52"/>
  <c r="BD41" i="52"/>
  <c r="BL40" i="52"/>
  <c r="BK40" i="52"/>
  <c r="BJ40" i="52"/>
  <c r="BI40" i="52"/>
  <c r="BH40" i="52"/>
  <c r="BD40" i="52"/>
  <c r="BL39" i="52"/>
  <c r="BK39" i="52"/>
  <c r="BJ39" i="52"/>
  <c r="BI39" i="52"/>
  <c r="BH39" i="52"/>
  <c r="BD39" i="52"/>
  <c r="BL38" i="52"/>
  <c r="BK38" i="52"/>
  <c r="BJ38" i="52"/>
  <c r="BI38" i="52"/>
  <c r="BH38" i="52"/>
  <c r="BD38" i="52"/>
  <c r="BL37" i="52"/>
  <c r="BK37" i="52"/>
  <c r="BJ37" i="52"/>
  <c r="BI37" i="52"/>
  <c r="BH37" i="52"/>
  <c r="BD37" i="52"/>
  <c r="BC20" i="52"/>
  <c r="BL18" i="52"/>
  <c r="BK18" i="52"/>
  <c r="BJ18" i="52"/>
  <c r="BI18" i="52"/>
  <c r="BH18" i="52"/>
  <c r="BD18" i="52"/>
  <c r="BL17" i="52"/>
  <c r="BK17" i="52"/>
  <c r="BJ17" i="52"/>
  <c r="BI17" i="52"/>
  <c r="BH17" i="52"/>
  <c r="BD17" i="52"/>
  <c r="BL16" i="52"/>
  <c r="BK16" i="52"/>
  <c r="BJ16" i="52"/>
  <c r="BI16" i="52"/>
  <c r="BH16" i="52"/>
  <c r="BD16" i="52"/>
  <c r="BL15" i="52"/>
  <c r="BK15" i="52"/>
  <c r="BJ15" i="52"/>
  <c r="BI15" i="52"/>
  <c r="BH15" i="52"/>
  <c r="BD15" i="52"/>
  <c r="BL14" i="52"/>
  <c r="BK14" i="52"/>
  <c r="BJ14" i="52"/>
  <c r="BI14" i="52"/>
  <c r="BH14" i="52"/>
  <c r="BD14" i="52"/>
  <c r="BL13" i="52"/>
  <c r="BK13" i="52"/>
  <c r="BJ13" i="52"/>
  <c r="BI13" i="52"/>
  <c r="BH13" i="52"/>
  <c r="BD13" i="52"/>
  <c r="BL12" i="52"/>
  <c r="BK12" i="52"/>
  <c r="BJ12" i="52"/>
  <c r="BI12" i="52"/>
  <c r="BH12" i="52"/>
  <c r="BD12" i="52"/>
  <c r="BL11" i="52"/>
  <c r="BK11" i="52"/>
  <c r="BJ11" i="52"/>
  <c r="BI11" i="52"/>
  <c r="BH11" i="52"/>
  <c r="BD11" i="52"/>
  <c r="BL10" i="52"/>
  <c r="BK10" i="52"/>
  <c r="BJ10" i="52"/>
  <c r="BI10" i="52"/>
  <c r="BH10" i="52"/>
  <c r="BD10" i="52"/>
  <c r="BL9" i="52"/>
  <c r="BK9" i="52"/>
  <c r="BJ9" i="52"/>
  <c r="BI9" i="52"/>
  <c r="BH9" i="52"/>
  <c r="BD9" i="52"/>
  <c r="BL8" i="52"/>
  <c r="BK8" i="52"/>
  <c r="BJ8" i="52"/>
  <c r="BI8" i="52"/>
  <c r="BH8" i="52"/>
  <c r="BD8" i="52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L85" i="99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L53" i="99"/>
  <c r="L52" i="99"/>
  <c r="L51" i="99"/>
  <c r="L50" i="99"/>
  <c r="L49" i="99"/>
  <c r="L48" i="99"/>
  <c r="L47" i="99"/>
  <c r="L46" i="99"/>
  <c r="L45" i="99"/>
  <c r="L44" i="99"/>
  <c r="L43" i="99"/>
  <c r="L42" i="99"/>
  <c r="N42" i="99" s="1"/>
  <c r="L41" i="99"/>
  <c r="L40" i="99"/>
  <c r="L39" i="99"/>
  <c r="N39" i="99" s="1"/>
  <c r="L38" i="99"/>
  <c r="L37" i="99"/>
  <c r="L36" i="99"/>
  <c r="L35" i="99"/>
  <c r="L34" i="99"/>
  <c r="M34" i="99" s="1"/>
  <c r="L33" i="99"/>
  <c r="M33" i="99" s="1"/>
  <c r="L32" i="99"/>
  <c r="L31" i="99"/>
  <c r="L30" i="99"/>
  <c r="L29" i="99"/>
  <c r="L28" i="99"/>
  <c r="L27" i="99"/>
  <c r="L26" i="99"/>
  <c r="L25" i="99"/>
  <c r="M25" i="99" s="1"/>
  <c r="L24" i="99"/>
  <c r="L23" i="99"/>
  <c r="L22" i="99"/>
  <c r="M22" i="99" s="1"/>
  <c r="L21" i="99"/>
  <c r="L20" i="99"/>
  <c r="L19" i="99"/>
  <c r="N19" i="99" s="1"/>
  <c r="O19" i="99" s="1"/>
  <c r="L18" i="99"/>
  <c r="M18" i="99" s="1"/>
  <c r="L17" i="99"/>
  <c r="L16" i="99"/>
  <c r="L15" i="99"/>
  <c r="L14" i="99"/>
  <c r="L13" i="99"/>
  <c r="M13" i="99" s="1"/>
  <c r="L12" i="99"/>
  <c r="L11" i="99"/>
  <c r="L10" i="99"/>
  <c r="L9" i="99"/>
  <c r="L8" i="99"/>
  <c r="N8" i="99" s="1"/>
  <c r="O8" i="99" s="1"/>
  <c r="L7" i="99"/>
  <c r="L6" i="99"/>
  <c r="L5" i="99"/>
  <c r="L4" i="99"/>
  <c r="L3" i="99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M28" i="97" s="1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8" i="105"/>
  <c r="B8" i="105"/>
  <c r="A1" i="105"/>
  <c r="AC169" i="59"/>
  <c r="AA169" i="59"/>
  <c r="J169" i="59" s="1"/>
  <c r="Y169" i="59"/>
  <c r="H169" i="59" s="1"/>
  <c r="W169" i="59"/>
  <c r="F169" i="59" s="1"/>
  <c r="U169" i="59"/>
  <c r="D169" i="59"/>
  <c r="AC139" i="59"/>
  <c r="L139" i="59" s="1"/>
  <c r="AA139" i="59"/>
  <c r="Y139" i="59"/>
  <c r="H139" i="59" s="1"/>
  <c r="W139" i="59"/>
  <c r="F139" i="59" s="1"/>
  <c r="U139" i="59"/>
  <c r="AC109" i="59"/>
  <c r="L109" i="59" s="1"/>
  <c r="AA109" i="59"/>
  <c r="J109" i="59"/>
  <c r="Y109" i="59"/>
  <c r="H109" i="59" s="1"/>
  <c r="W109" i="59"/>
  <c r="F109" i="59"/>
  <c r="U109" i="59"/>
  <c r="D109" i="59" s="1"/>
  <c r="AC79" i="59"/>
  <c r="AA79" i="59"/>
  <c r="J79" i="59" s="1"/>
  <c r="Y79" i="59"/>
  <c r="H79" i="59" s="1"/>
  <c r="W79" i="59"/>
  <c r="F79" i="59" s="1"/>
  <c r="U79" i="59"/>
  <c r="AC49" i="59"/>
  <c r="AA49" i="59"/>
  <c r="Y49" i="59"/>
  <c r="H49" i="59" s="1"/>
  <c r="W49" i="59"/>
  <c r="U49" i="59"/>
  <c r="D49" i="59"/>
  <c r="AC19" i="59"/>
  <c r="L19" i="59"/>
  <c r="AA19" i="59"/>
  <c r="Y19" i="59"/>
  <c r="H19" i="59" s="1"/>
  <c r="W19" i="59"/>
  <c r="F19" i="59"/>
  <c r="U19" i="59"/>
  <c r="AC169" i="58"/>
  <c r="L169" i="58" s="1"/>
  <c r="AA169" i="58"/>
  <c r="Y169" i="58"/>
  <c r="H169" i="58" s="1"/>
  <c r="W169" i="58"/>
  <c r="F169" i="58" s="1"/>
  <c r="U169" i="58"/>
  <c r="D169" i="58" s="1"/>
  <c r="AC139" i="58"/>
  <c r="L139" i="58" s="1"/>
  <c r="AA139" i="58"/>
  <c r="Y139" i="58"/>
  <c r="H139" i="58" s="1"/>
  <c r="W139" i="58"/>
  <c r="U139" i="58"/>
  <c r="D139" i="58" s="1"/>
  <c r="AC109" i="58"/>
  <c r="L109" i="58" s="1"/>
  <c r="AA109" i="58"/>
  <c r="Y109" i="58"/>
  <c r="W109" i="58"/>
  <c r="F109" i="58" s="1"/>
  <c r="U109" i="58"/>
  <c r="D109" i="58" s="1"/>
  <c r="AC79" i="58"/>
  <c r="L79" i="58" s="1"/>
  <c r="AA79" i="58"/>
  <c r="J79" i="58" s="1"/>
  <c r="Y79" i="58"/>
  <c r="H79" i="58" s="1"/>
  <c r="W79" i="58"/>
  <c r="F79" i="58" s="1"/>
  <c r="U79" i="58"/>
  <c r="D79" i="58" s="1"/>
  <c r="AC49" i="58"/>
  <c r="L49" i="58" s="1"/>
  <c r="AA49" i="58"/>
  <c r="Y49" i="58"/>
  <c r="W49" i="58"/>
  <c r="U49" i="58"/>
  <c r="D49" i="58" s="1"/>
  <c r="AC19" i="58"/>
  <c r="L19" i="58"/>
  <c r="AA19" i="58"/>
  <c r="J19" i="58" s="1"/>
  <c r="Y19" i="58"/>
  <c r="W19" i="58"/>
  <c r="F19" i="58" s="1"/>
  <c r="U19" i="58"/>
  <c r="D19" i="58" s="1"/>
  <c r="AC169" i="57"/>
  <c r="AA169" i="57"/>
  <c r="J169" i="57" s="1"/>
  <c r="Y169" i="57"/>
  <c r="H169" i="57" s="1"/>
  <c r="W169" i="57"/>
  <c r="F169" i="57"/>
  <c r="U169" i="57"/>
  <c r="D169" i="57" s="1"/>
  <c r="AC139" i="57"/>
  <c r="L139" i="57" s="1"/>
  <c r="AA139" i="57"/>
  <c r="Y139" i="57"/>
  <c r="W139" i="57"/>
  <c r="F139" i="57" s="1"/>
  <c r="U139" i="57"/>
  <c r="AC109" i="57"/>
  <c r="L109" i="57" s="1"/>
  <c r="AA109" i="57"/>
  <c r="J109" i="57" s="1"/>
  <c r="Y109" i="57"/>
  <c r="H109" i="57" s="1"/>
  <c r="W109" i="57"/>
  <c r="F109" i="57" s="1"/>
  <c r="U109" i="57"/>
  <c r="AC79" i="57"/>
  <c r="AA79" i="57"/>
  <c r="Y79" i="57"/>
  <c r="H79" i="57" s="1"/>
  <c r="W79" i="57"/>
  <c r="F79" i="57" s="1"/>
  <c r="U79" i="57"/>
  <c r="AC49" i="57"/>
  <c r="L49" i="57" s="1"/>
  <c r="AA49" i="57"/>
  <c r="J49" i="57"/>
  <c r="Y49" i="57"/>
  <c r="W49" i="57"/>
  <c r="U49" i="57"/>
  <c r="D49" i="57" s="1"/>
  <c r="AC19" i="57"/>
  <c r="L19" i="57" s="1"/>
  <c r="AA19" i="57"/>
  <c r="J19" i="57"/>
  <c r="Y19" i="57"/>
  <c r="H19" i="57" s="1"/>
  <c r="W19" i="57"/>
  <c r="F19" i="57" s="1"/>
  <c r="U19" i="57"/>
  <c r="AC169" i="55"/>
  <c r="L169" i="55"/>
  <c r="AA169" i="55"/>
  <c r="J169" i="55" s="1"/>
  <c r="Y169" i="55"/>
  <c r="H169" i="55"/>
  <c r="W169" i="55"/>
  <c r="F169" i="55" s="1"/>
  <c r="U169" i="55"/>
  <c r="AC139" i="55"/>
  <c r="L139" i="55" s="1"/>
  <c r="AA139" i="55"/>
  <c r="Y139" i="55"/>
  <c r="H139" i="55"/>
  <c r="W139" i="55"/>
  <c r="F139" i="55" s="1"/>
  <c r="U139" i="55"/>
  <c r="AC109" i="55"/>
  <c r="L109" i="55"/>
  <c r="AA109" i="55"/>
  <c r="J109" i="55"/>
  <c r="Y109" i="55"/>
  <c r="W109" i="55"/>
  <c r="F109" i="55" s="1"/>
  <c r="U109" i="55"/>
  <c r="D109" i="55" s="1"/>
  <c r="AC79" i="55"/>
  <c r="L79" i="55" s="1"/>
  <c r="AA79" i="55"/>
  <c r="J79" i="55" s="1"/>
  <c r="Y79" i="55"/>
  <c r="H79" i="55" s="1"/>
  <c r="W79" i="55"/>
  <c r="F79" i="55"/>
  <c r="U79" i="55"/>
  <c r="D79" i="55" s="1"/>
  <c r="AC49" i="55"/>
  <c r="AA49" i="55"/>
  <c r="Y49" i="55"/>
  <c r="W49" i="55"/>
  <c r="F49" i="55" s="1"/>
  <c r="U49" i="55"/>
  <c r="D49" i="55" s="1"/>
  <c r="AC19" i="55"/>
  <c r="L19" i="55"/>
  <c r="AA19" i="55"/>
  <c r="Y19" i="55"/>
  <c r="H19" i="55" s="1"/>
  <c r="W19" i="55"/>
  <c r="F19" i="55" s="1"/>
  <c r="U19" i="55"/>
  <c r="D19" i="55" s="1"/>
  <c r="AC169" i="53"/>
  <c r="AA169" i="53"/>
  <c r="J169" i="53"/>
  <c r="Y169" i="53"/>
  <c r="W169" i="53"/>
  <c r="F169" i="53"/>
  <c r="U169" i="53"/>
  <c r="D169" i="53" s="1"/>
  <c r="AC139" i="53"/>
  <c r="L139" i="53" s="1"/>
  <c r="AA139" i="53"/>
  <c r="J139" i="53" s="1"/>
  <c r="Y139" i="53"/>
  <c r="H139" i="53" s="1"/>
  <c r="W139" i="53"/>
  <c r="F139" i="53" s="1"/>
  <c r="U139" i="53"/>
  <c r="AC109" i="53"/>
  <c r="L109" i="53"/>
  <c r="AA109" i="53"/>
  <c r="J109" i="53" s="1"/>
  <c r="Y109" i="53"/>
  <c r="H109" i="53"/>
  <c r="W109" i="53"/>
  <c r="F109" i="53" s="1"/>
  <c r="U109" i="53"/>
  <c r="D109" i="53" s="1"/>
  <c r="AC79" i="53"/>
  <c r="L79" i="53" s="1"/>
  <c r="AA79" i="53"/>
  <c r="J79" i="53" s="1"/>
  <c r="Y79" i="53"/>
  <c r="W79" i="53"/>
  <c r="U79" i="53"/>
  <c r="AC49" i="53"/>
  <c r="L49" i="53" s="1"/>
  <c r="AA49" i="53"/>
  <c r="J49" i="53" s="1"/>
  <c r="Y49" i="53"/>
  <c r="H49" i="53" s="1"/>
  <c r="W49" i="53"/>
  <c r="F49" i="53"/>
  <c r="U49" i="53"/>
  <c r="D49" i="53" s="1"/>
  <c r="AC19" i="53"/>
  <c r="AA19" i="53"/>
  <c r="Y19" i="53"/>
  <c r="H19" i="53" s="1"/>
  <c r="W19" i="53"/>
  <c r="U19" i="53"/>
  <c r="D19" i="53" s="1"/>
  <c r="AE168" i="59"/>
  <c r="BE168" i="59" s="1"/>
  <c r="AE167" i="59"/>
  <c r="N167" i="59" s="1"/>
  <c r="BE167" i="59"/>
  <c r="AE166" i="59"/>
  <c r="N166" i="59" s="1"/>
  <c r="AE165" i="59"/>
  <c r="BE165" i="59" s="1"/>
  <c r="AE164" i="59"/>
  <c r="BE164" i="59"/>
  <c r="AE163" i="59"/>
  <c r="BE163" i="59" s="1"/>
  <c r="AE162" i="59"/>
  <c r="BE162" i="59"/>
  <c r="AE161" i="59"/>
  <c r="AE160" i="59"/>
  <c r="N160" i="59"/>
  <c r="AE159" i="59"/>
  <c r="BE159" i="59"/>
  <c r="AE158" i="59"/>
  <c r="BE158" i="59" s="1"/>
  <c r="AE157" i="59"/>
  <c r="BE157" i="59" s="1"/>
  <c r="AE138" i="59"/>
  <c r="BE138" i="59" s="1"/>
  <c r="AE137" i="59"/>
  <c r="AE136" i="59"/>
  <c r="BE136" i="59" s="1"/>
  <c r="AE135" i="59"/>
  <c r="BE135" i="59" s="1"/>
  <c r="AE134" i="59"/>
  <c r="BE134" i="59"/>
  <c r="AE133" i="59"/>
  <c r="BE133" i="59" s="1"/>
  <c r="AE132" i="59"/>
  <c r="AE131" i="59"/>
  <c r="BE131" i="59" s="1"/>
  <c r="AE130" i="59"/>
  <c r="N130" i="59" s="1"/>
  <c r="AE129" i="59"/>
  <c r="AE128" i="59"/>
  <c r="N128" i="59" s="1"/>
  <c r="AE127" i="59"/>
  <c r="N127" i="59"/>
  <c r="BE127" i="59"/>
  <c r="AE108" i="59"/>
  <c r="BE108" i="59" s="1"/>
  <c r="AE107" i="59"/>
  <c r="BE107" i="59"/>
  <c r="AE106" i="59"/>
  <c r="BT106" i="59"/>
  <c r="AE105" i="59"/>
  <c r="BE105" i="59"/>
  <c r="AE104" i="59"/>
  <c r="N104" i="59" s="1"/>
  <c r="AE103" i="59"/>
  <c r="N103" i="59" s="1"/>
  <c r="AE102" i="59"/>
  <c r="BE102" i="59" s="1"/>
  <c r="AE101" i="59"/>
  <c r="BE101" i="59" s="1"/>
  <c r="AE100" i="59"/>
  <c r="BE100" i="59" s="1"/>
  <c r="AE99" i="59"/>
  <c r="AE98" i="59"/>
  <c r="N98" i="59" s="1"/>
  <c r="AE97" i="59"/>
  <c r="N97" i="59" s="1"/>
  <c r="AE78" i="59"/>
  <c r="BE78" i="59" s="1"/>
  <c r="AE77" i="59"/>
  <c r="BE77" i="59"/>
  <c r="AE76" i="59"/>
  <c r="BE76" i="59" s="1"/>
  <c r="AE75" i="59"/>
  <c r="BE75" i="59"/>
  <c r="AE74" i="59"/>
  <c r="BE74" i="59" s="1"/>
  <c r="AE73" i="59"/>
  <c r="BE73" i="59"/>
  <c r="AE72" i="59"/>
  <c r="BE72" i="59" s="1"/>
  <c r="AE71" i="59"/>
  <c r="BE71" i="59" s="1"/>
  <c r="AE70" i="59"/>
  <c r="N70" i="59" s="1"/>
  <c r="AE69" i="59"/>
  <c r="BE69" i="59" s="1"/>
  <c r="AE68" i="59"/>
  <c r="BE68" i="59" s="1"/>
  <c r="AE67" i="59"/>
  <c r="BE67" i="59" s="1"/>
  <c r="AE48" i="59"/>
  <c r="BE48" i="59" s="1"/>
  <c r="AE47" i="59"/>
  <c r="BE47" i="59"/>
  <c r="AE46" i="59"/>
  <c r="BE46" i="59" s="1"/>
  <c r="AE45" i="59"/>
  <c r="BE45" i="59" s="1"/>
  <c r="AE44" i="59"/>
  <c r="AE43" i="59"/>
  <c r="BE43" i="59" s="1"/>
  <c r="AE42" i="59"/>
  <c r="BE42" i="59" s="1"/>
  <c r="AE41" i="59"/>
  <c r="AE40" i="59"/>
  <c r="BE40" i="59" s="1"/>
  <c r="AE39" i="59"/>
  <c r="BE39" i="59" s="1"/>
  <c r="AE38" i="59"/>
  <c r="BE38" i="59" s="1"/>
  <c r="AE37" i="59"/>
  <c r="BE37" i="59" s="1"/>
  <c r="AE18" i="59"/>
  <c r="BE18" i="59"/>
  <c r="AE17" i="59"/>
  <c r="AE16" i="59"/>
  <c r="BE16" i="59" s="1"/>
  <c r="AE15" i="59"/>
  <c r="BE15" i="59"/>
  <c r="AE14" i="59"/>
  <c r="BE14" i="59"/>
  <c r="AE13" i="59"/>
  <c r="BE13" i="59" s="1"/>
  <c r="AE12" i="59"/>
  <c r="BE12" i="59" s="1"/>
  <c r="AE11" i="59"/>
  <c r="AE10" i="59"/>
  <c r="N10" i="59" s="1"/>
  <c r="AE9" i="59"/>
  <c r="BE9" i="59"/>
  <c r="AE8" i="59"/>
  <c r="BE8" i="59" s="1"/>
  <c r="AE7" i="59"/>
  <c r="BE7" i="59" s="1"/>
  <c r="AE168" i="58"/>
  <c r="N168" i="58" s="1"/>
  <c r="AE167" i="58"/>
  <c r="BE167" i="58" s="1"/>
  <c r="AE166" i="58"/>
  <c r="BE166" i="58" s="1"/>
  <c r="AE165" i="58"/>
  <c r="AE164" i="58"/>
  <c r="AE163" i="58"/>
  <c r="N163" i="58" s="1"/>
  <c r="AE162" i="58"/>
  <c r="AE161" i="58"/>
  <c r="BE161" i="58" s="1"/>
  <c r="AE160" i="58"/>
  <c r="BE160" i="58" s="1"/>
  <c r="AE159" i="58"/>
  <c r="AE158" i="58"/>
  <c r="BE158" i="58" s="1"/>
  <c r="AE157" i="58"/>
  <c r="N157" i="58" s="1"/>
  <c r="AE138" i="58"/>
  <c r="BE138" i="58" s="1"/>
  <c r="AE137" i="58"/>
  <c r="BE137" i="58"/>
  <c r="AE136" i="58"/>
  <c r="AE135" i="58"/>
  <c r="BE135" i="58"/>
  <c r="AE134" i="58"/>
  <c r="BE134" i="58" s="1"/>
  <c r="AE133" i="58"/>
  <c r="BE133" i="58" s="1"/>
  <c r="AE132" i="58"/>
  <c r="BE132" i="58"/>
  <c r="AE131" i="58"/>
  <c r="BE131" i="58" s="1"/>
  <c r="AE130" i="58"/>
  <c r="BE130" i="58" s="1"/>
  <c r="AE129" i="58"/>
  <c r="BE129" i="58" s="1"/>
  <c r="AE128" i="58"/>
  <c r="BE128" i="58"/>
  <c r="AE127" i="58"/>
  <c r="BE127" i="58" s="1"/>
  <c r="AE108" i="58"/>
  <c r="BE108" i="58"/>
  <c r="AE107" i="58"/>
  <c r="BE107" i="58" s="1"/>
  <c r="AE106" i="58"/>
  <c r="BE106" i="58" s="1"/>
  <c r="AE105" i="58"/>
  <c r="BE105" i="58" s="1"/>
  <c r="AE104" i="58"/>
  <c r="BE104" i="58" s="1"/>
  <c r="AE103" i="58"/>
  <c r="BE103" i="58" s="1"/>
  <c r="AE102" i="58"/>
  <c r="BE102" i="58" s="1"/>
  <c r="AE101" i="58"/>
  <c r="BE101" i="58" s="1"/>
  <c r="AE100" i="58"/>
  <c r="BE100" i="58" s="1"/>
  <c r="AE99" i="58"/>
  <c r="BE99" i="58" s="1"/>
  <c r="AE98" i="58"/>
  <c r="BE98" i="58"/>
  <c r="AE97" i="58"/>
  <c r="BE97" i="58" s="1"/>
  <c r="BT97" i="58" s="1"/>
  <c r="AE78" i="58"/>
  <c r="BE78" i="58" s="1"/>
  <c r="AE77" i="58"/>
  <c r="AE76" i="58"/>
  <c r="BE76" i="58" s="1"/>
  <c r="AE75" i="58"/>
  <c r="AE74" i="58"/>
  <c r="BE74" i="58" s="1"/>
  <c r="AE73" i="58"/>
  <c r="BE73" i="58" s="1"/>
  <c r="BT73" i="58" s="1"/>
  <c r="AE72" i="58"/>
  <c r="BE72" i="58" s="1"/>
  <c r="AE71" i="58"/>
  <c r="N71" i="58"/>
  <c r="AE70" i="58"/>
  <c r="BE70" i="58" s="1"/>
  <c r="AE69" i="58"/>
  <c r="BE69" i="58" s="1"/>
  <c r="AE68" i="58"/>
  <c r="BE68" i="58" s="1"/>
  <c r="AE67" i="58"/>
  <c r="BE67" i="58" s="1"/>
  <c r="BT67" i="58" s="1"/>
  <c r="AE48" i="58"/>
  <c r="AE47" i="58"/>
  <c r="BE47" i="58" s="1"/>
  <c r="AE46" i="58"/>
  <c r="AE45" i="58"/>
  <c r="BE45" i="58" s="1"/>
  <c r="AE44" i="58"/>
  <c r="N44" i="58" s="1"/>
  <c r="AE43" i="58"/>
  <c r="BE43" i="58" s="1"/>
  <c r="AE42" i="58"/>
  <c r="BE42" i="58"/>
  <c r="AE41" i="58"/>
  <c r="BE41" i="58" s="1"/>
  <c r="AE40" i="58"/>
  <c r="BE40" i="58" s="1"/>
  <c r="AE39" i="58"/>
  <c r="BE39" i="58" s="1"/>
  <c r="AE38" i="58"/>
  <c r="BE38" i="58" s="1"/>
  <c r="AE37" i="58"/>
  <c r="BE37" i="58" s="1"/>
  <c r="AE18" i="58"/>
  <c r="AE17" i="58"/>
  <c r="BE17" i="58"/>
  <c r="AE16" i="58"/>
  <c r="BE16" i="58" s="1"/>
  <c r="AE15" i="58"/>
  <c r="BE15" i="58" s="1"/>
  <c r="AE14" i="58"/>
  <c r="BE14" i="58" s="1"/>
  <c r="AE13" i="58"/>
  <c r="BE13" i="58" s="1"/>
  <c r="AE12" i="58"/>
  <c r="BE12" i="58"/>
  <c r="AE11" i="58"/>
  <c r="BE11" i="58"/>
  <c r="AE10" i="58"/>
  <c r="BE10" i="58" s="1"/>
  <c r="BT10" i="58" s="1"/>
  <c r="AE9" i="58"/>
  <c r="BE9" i="58" s="1"/>
  <c r="AE8" i="58"/>
  <c r="AE7" i="58"/>
  <c r="AE168" i="57"/>
  <c r="BE168" i="57" s="1"/>
  <c r="AE167" i="57"/>
  <c r="AE166" i="57"/>
  <c r="BE166" i="57" s="1"/>
  <c r="AE165" i="57"/>
  <c r="BE165" i="57"/>
  <c r="AE164" i="57"/>
  <c r="BE164" i="57" s="1"/>
  <c r="AE163" i="57"/>
  <c r="BE163" i="57" s="1"/>
  <c r="AE162" i="57"/>
  <c r="BE162" i="57"/>
  <c r="AE161" i="57"/>
  <c r="BE161" i="57" s="1"/>
  <c r="AE160" i="57"/>
  <c r="BE160" i="57"/>
  <c r="AE159" i="57"/>
  <c r="AE158" i="57"/>
  <c r="AE157" i="57"/>
  <c r="BE157" i="57"/>
  <c r="AE138" i="57"/>
  <c r="BE138" i="57" s="1"/>
  <c r="AE137" i="57"/>
  <c r="AE136" i="57"/>
  <c r="BE136" i="57" s="1"/>
  <c r="AE135" i="57"/>
  <c r="BE135" i="57"/>
  <c r="AE134" i="57"/>
  <c r="BE134" i="57" s="1"/>
  <c r="AE133" i="57"/>
  <c r="N133" i="57"/>
  <c r="AE132" i="57"/>
  <c r="BE132" i="57" s="1"/>
  <c r="AE131" i="57"/>
  <c r="AE130" i="57"/>
  <c r="BE130" i="57" s="1"/>
  <c r="AE129" i="57"/>
  <c r="BE129" i="57" s="1"/>
  <c r="AE128" i="57"/>
  <c r="BE128" i="57" s="1"/>
  <c r="AE127" i="57"/>
  <c r="BE127" i="57" s="1"/>
  <c r="AE108" i="57"/>
  <c r="AE107" i="57"/>
  <c r="BE107" i="57" s="1"/>
  <c r="AE106" i="57"/>
  <c r="BE106" i="57" s="1"/>
  <c r="AE105" i="57"/>
  <c r="BE105" i="57" s="1"/>
  <c r="AE104" i="57"/>
  <c r="BE104" i="57"/>
  <c r="AE103" i="57"/>
  <c r="N103" i="57" s="1"/>
  <c r="AE102" i="57"/>
  <c r="AE101" i="57"/>
  <c r="BE101" i="57" s="1"/>
  <c r="AE100" i="57"/>
  <c r="N100" i="57" s="1"/>
  <c r="AE99" i="57"/>
  <c r="BE99" i="57"/>
  <c r="AE98" i="57"/>
  <c r="BE98" i="57"/>
  <c r="AE97" i="57"/>
  <c r="AE78" i="57"/>
  <c r="BE78" i="57" s="1"/>
  <c r="AE77" i="57"/>
  <c r="BE77" i="57"/>
  <c r="AE76" i="57"/>
  <c r="N76" i="57" s="1"/>
  <c r="AE75" i="57"/>
  <c r="BE75" i="57" s="1"/>
  <c r="AE74" i="57"/>
  <c r="BE74" i="57" s="1"/>
  <c r="AE73" i="57"/>
  <c r="AE72" i="57"/>
  <c r="BE72" i="57" s="1"/>
  <c r="AE71" i="57"/>
  <c r="BE71" i="57" s="1"/>
  <c r="AE70" i="57"/>
  <c r="N70" i="57" s="1"/>
  <c r="AE69" i="57"/>
  <c r="AE68" i="57"/>
  <c r="AE67" i="57"/>
  <c r="N67" i="57" s="1"/>
  <c r="AE48" i="57"/>
  <c r="BE48" i="57"/>
  <c r="AE47" i="57"/>
  <c r="BE47" i="57" s="1"/>
  <c r="AE46" i="57"/>
  <c r="BE46" i="57" s="1"/>
  <c r="AE45" i="57"/>
  <c r="BE45" i="57"/>
  <c r="AE44" i="57"/>
  <c r="N44" i="57" s="1"/>
  <c r="AE43" i="57"/>
  <c r="BE43" i="57" s="1"/>
  <c r="AE42" i="57"/>
  <c r="BE42" i="57" s="1"/>
  <c r="AE41" i="57"/>
  <c r="BE41" i="57"/>
  <c r="AE40" i="57"/>
  <c r="BE40" i="57"/>
  <c r="AE39" i="57"/>
  <c r="BE39" i="57" s="1"/>
  <c r="AE38" i="57"/>
  <c r="BE38" i="57" s="1"/>
  <c r="AE37" i="57"/>
  <c r="BE37" i="57" s="1"/>
  <c r="AE18" i="57"/>
  <c r="BE18" i="57"/>
  <c r="AE17" i="57"/>
  <c r="AE16" i="57"/>
  <c r="BE16" i="57" s="1"/>
  <c r="AE15" i="57"/>
  <c r="AE14" i="57"/>
  <c r="BE14" i="57" s="1"/>
  <c r="AE13" i="57"/>
  <c r="N13" i="57"/>
  <c r="AE12" i="57"/>
  <c r="BE12" i="57" s="1"/>
  <c r="AE11" i="57"/>
  <c r="AE10" i="57"/>
  <c r="N10" i="57"/>
  <c r="AE9" i="57"/>
  <c r="AE8" i="57"/>
  <c r="N8" i="57" s="1"/>
  <c r="AE7" i="57"/>
  <c r="AE168" i="55"/>
  <c r="BE168" i="55" s="1"/>
  <c r="AE167" i="55"/>
  <c r="BE167" i="55" s="1"/>
  <c r="AE166" i="55"/>
  <c r="BE166" i="55"/>
  <c r="BT166" i="55"/>
  <c r="AE165" i="55"/>
  <c r="AE164" i="55"/>
  <c r="BE164" i="55" s="1"/>
  <c r="AE163" i="55"/>
  <c r="AE162" i="55"/>
  <c r="AE161" i="55"/>
  <c r="BE161" i="55"/>
  <c r="AE160" i="55"/>
  <c r="BE160" i="55" s="1"/>
  <c r="AE159" i="55"/>
  <c r="AE158" i="55"/>
  <c r="BE158" i="55" s="1"/>
  <c r="AE157" i="55"/>
  <c r="BE157" i="55" s="1"/>
  <c r="AE138" i="55"/>
  <c r="BE138" i="55" s="1"/>
  <c r="AE137" i="55"/>
  <c r="BE137" i="55" s="1"/>
  <c r="AE136" i="55"/>
  <c r="BE136" i="55" s="1"/>
  <c r="AE135" i="55"/>
  <c r="AE134" i="55"/>
  <c r="BE134" i="55" s="1"/>
  <c r="AE133" i="55"/>
  <c r="BE133" i="55" s="1"/>
  <c r="AE132" i="55"/>
  <c r="BE132" i="55"/>
  <c r="AE131" i="55"/>
  <c r="AE130" i="55"/>
  <c r="BE130" i="55"/>
  <c r="AE129" i="55"/>
  <c r="BE129" i="55" s="1"/>
  <c r="AE128" i="55"/>
  <c r="BE128" i="55" s="1"/>
  <c r="AE127" i="55"/>
  <c r="BE127" i="55" s="1"/>
  <c r="AE108" i="55"/>
  <c r="BE108" i="55" s="1"/>
  <c r="AE107" i="55"/>
  <c r="BE107" i="55" s="1"/>
  <c r="AE106" i="55"/>
  <c r="BE106" i="55" s="1"/>
  <c r="AE105" i="55"/>
  <c r="BE105" i="55" s="1"/>
  <c r="AE104" i="55"/>
  <c r="BE104" i="55" s="1"/>
  <c r="AE103" i="55"/>
  <c r="BE103" i="55" s="1"/>
  <c r="AE102" i="55"/>
  <c r="N102" i="55" s="1"/>
  <c r="AE101" i="55"/>
  <c r="BE101" i="55" s="1"/>
  <c r="AE100" i="55"/>
  <c r="BE100" i="55" s="1"/>
  <c r="AE99" i="55"/>
  <c r="AE98" i="55"/>
  <c r="AE97" i="55"/>
  <c r="BE97" i="55" s="1"/>
  <c r="BT97" i="55" s="1"/>
  <c r="AE78" i="55"/>
  <c r="AE77" i="55"/>
  <c r="BE77" i="55" s="1"/>
  <c r="AE76" i="55"/>
  <c r="BE76" i="55" s="1"/>
  <c r="BT76" i="55" s="1"/>
  <c r="AE75" i="55"/>
  <c r="AE74" i="55"/>
  <c r="BE74" i="55" s="1"/>
  <c r="AE73" i="55"/>
  <c r="BE73" i="55"/>
  <c r="AE72" i="55"/>
  <c r="AE71" i="55"/>
  <c r="AE70" i="55"/>
  <c r="N70" i="55"/>
  <c r="AE69" i="55"/>
  <c r="AE68" i="55"/>
  <c r="AE67" i="55"/>
  <c r="BE67" i="55"/>
  <c r="AE48" i="55"/>
  <c r="AE47" i="55"/>
  <c r="BE47" i="55" s="1"/>
  <c r="AE46" i="55"/>
  <c r="BE46" i="55"/>
  <c r="BT46" i="55" s="1"/>
  <c r="AE45" i="55"/>
  <c r="AE44" i="55"/>
  <c r="BE44" i="55" s="1"/>
  <c r="AE43" i="55"/>
  <c r="BE43" i="55" s="1"/>
  <c r="AE42" i="55"/>
  <c r="BE42" i="55" s="1"/>
  <c r="AE41" i="55"/>
  <c r="BE41" i="55" s="1"/>
  <c r="AE40" i="55"/>
  <c r="BE40" i="55" s="1"/>
  <c r="AE39" i="55"/>
  <c r="BE39" i="55" s="1"/>
  <c r="AE38" i="55"/>
  <c r="BE38" i="55"/>
  <c r="AE37" i="55"/>
  <c r="AE18" i="55"/>
  <c r="BE18" i="55"/>
  <c r="AE17" i="55"/>
  <c r="BE17" i="55" s="1"/>
  <c r="AE16" i="55"/>
  <c r="BE16" i="55"/>
  <c r="AE15" i="55"/>
  <c r="BE15" i="55" s="1"/>
  <c r="AE14" i="55"/>
  <c r="BE14" i="55" s="1"/>
  <c r="AE13" i="55"/>
  <c r="N13" i="55"/>
  <c r="AE12" i="55"/>
  <c r="BE12" i="55" s="1"/>
  <c r="AE11" i="55"/>
  <c r="BE11" i="55" s="1"/>
  <c r="AE10" i="55"/>
  <c r="BE10" i="55"/>
  <c r="AE9" i="55"/>
  <c r="BE9" i="55"/>
  <c r="AE8" i="55"/>
  <c r="AE7" i="55"/>
  <c r="BE7" i="55" s="1"/>
  <c r="AE168" i="53"/>
  <c r="BE168" i="53"/>
  <c r="AE167" i="53"/>
  <c r="BE167" i="53" s="1"/>
  <c r="AE166" i="53"/>
  <c r="N166" i="53" s="1"/>
  <c r="AE165" i="53"/>
  <c r="AE164" i="53"/>
  <c r="BE164" i="53" s="1"/>
  <c r="AE163" i="53"/>
  <c r="N163" i="53" s="1"/>
  <c r="AE162" i="53"/>
  <c r="AE161" i="53"/>
  <c r="BE161" i="53"/>
  <c r="AE160" i="53"/>
  <c r="BE160" i="53" s="1"/>
  <c r="AE159" i="53"/>
  <c r="BE159" i="53"/>
  <c r="AE158" i="53"/>
  <c r="BE158" i="53" s="1"/>
  <c r="AE157" i="53"/>
  <c r="N157" i="53" s="1"/>
  <c r="AE138" i="53"/>
  <c r="BE138" i="53" s="1"/>
  <c r="AE137" i="53"/>
  <c r="BE137" i="53" s="1"/>
  <c r="AE136" i="53"/>
  <c r="BE136" i="53"/>
  <c r="AE135" i="53"/>
  <c r="N135" i="53" s="1"/>
  <c r="AE134" i="53"/>
  <c r="BE134" i="53" s="1"/>
  <c r="AE133" i="53"/>
  <c r="BE133" i="53" s="1"/>
  <c r="BT133" i="53" s="1"/>
  <c r="N133" i="53"/>
  <c r="AE132" i="53"/>
  <c r="AE131" i="53"/>
  <c r="AE130" i="53"/>
  <c r="BE130" i="53" s="1"/>
  <c r="AE129" i="53"/>
  <c r="BE129" i="53"/>
  <c r="AE128" i="53"/>
  <c r="N128" i="53" s="1"/>
  <c r="AE127" i="53"/>
  <c r="N127" i="53" s="1"/>
  <c r="AE108" i="53"/>
  <c r="N108" i="53"/>
  <c r="AE107" i="53"/>
  <c r="BE107" i="53" s="1"/>
  <c r="AE106" i="53"/>
  <c r="BE106" i="53"/>
  <c r="BT106" i="53" s="1"/>
  <c r="AE105" i="53"/>
  <c r="AE104" i="53"/>
  <c r="AE103" i="53"/>
  <c r="BE103" i="53"/>
  <c r="AE102" i="53"/>
  <c r="BE102" i="53" s="1"/>
  <c r="AE101" i="53"/>
  <c r="N101" i="53"/>
  <c r="AE100" i="53"/>
  <c r="BE100" i="53" s="1"/>
  <c r="AE99" i="53"/>
  <c r="AE98" i="53"/>
  <c r="BE98" i="53" s="1"/>
  <c r="AE97" i="53"/>
  <c r="N97" i="53"/>
  <c r="AE78" i="53"/>
  <c r="BE78" i="53" s="1"/>
  <c r="AE77" i="53"/>
  <c r="BE77" i="53" s="1"/>
  <c r="AE76" i="53"/>
  <c r="AE75" i="53"/>
  <c r="BE75" i="53"/>
  <c r="AE74" i="53"/>
  <c r="N74" i="53" s="1"/>
  <c r="AE73" i="53"/>
  <c r="BE73" i="53" s="1"/>
  <c r="AE72" i="53"/>
  <c r="AE71" i="53"/>
  <c r="BE71" i="53" s="1"/>
  <c r="AE70" i="53"/>
  <c r="BE70" i="53" s="1"/>
  <c r="AE69" i="53"/>
  <c r="BE69" i="53" s="1"/>
  <c r="AE68" i="53"/>
  <c r="BE68" i="53"/>
  <c r="AE67" i="53"/>
  <c r="BE67" i="53" s="1"/>
  <c r="AE48" i="53"/>
  <c r="BE48" i="53" s="1"/>
  <c r="AE47" i="53"/>
  <c r="BE47" i="53" s="1"/>
  <c r="AE46" i="53"/>
  <c r="BE46" i="53" s="1"/>
  <c r="AE45" i="53"/>
  <c r="BE45" i="53" s="1"/>
  <c r="AE44" i="53"/>
  <c r="BE44" i="53" s="1"/>
  <c r="AE43" i="53"/>
  <c r="BE43" i="53" s="1"/>
  <c r="AE42" i="53"/>
  <c r="AE41" i="53"/>
  <c r="N41" i="53" s="1"/>
  <c r="AE40" i="53"/>
  <c r="BE40" i="53"/>
  <c r="AE39" i="53"/>
  <c r="AE38" i="53"/>
  <c r="BE38" i="53" s="1"/>
  <c r="AE37" i="53"/>
  <c r="N37" i="53"/>
  <c r="AE18" i="53"/>
  <c r="BE18" i="53"/>
  <c r="AE17" i="53"/>
  <c r="BE17" i="53"/>
  <c r="AE16" i="53"/>
  <c r="BE16" i="53" s="1"/>
  <c r="AE15" i="53"/>
  <c r="AE14" i="53"/>
  <c r="BE14" i="53" s="1"/>
  <c r="AE13" i="53"/>
  <c r="BE13" i="53" s="1"/>
  <c r="AE12" i="53"/>
  <c r="BE12" i="53" s="1"/>
  <c r="AE11" i="53"/>
  <c r="N11" i="53" s="1"/>
  <c r="AE10" i="53"/>
  <c r="N10" i="53"/>
  <c r="AE9" i="53"/>
  <c r="BE9" i="53" s="1"/>
  <c r="AE8" i="53"/>
  <c r="AE7" i="53"/>
  <c r="N7" i="53"/>
  <c r="AC169" i="52"/>
  <c r="L169" i="52" s="1"/>
  <c r="AA169" i="52"/>
  <c r="Y169" i="52"/>
  <c r="W169" i="52"/>
  <c r="U169" i="52"/>
  <c r="AC139" i="52"/>
  <c r="L139" i="52" s="1"/>
  <c r="AA139" i="52"/>
  <c r="Y139" i="52"/>
  <c r="W139" i="52"/>
  <c r="U139" i="52"/>
  <c r="AC109" i="52"/>
  <c r="AA109" i="52"/>
  <c r="Y109" i="52"/>
  <c r="W109" i="52"/>
  <c r="F109" i="52"/>
  <c r="U109" i="52"/>
  <c r="AC79" i="52"/>
  <c r="AA79" i="52"/>
  <c r="Y79" i="52"/>
  <c r="H79" i="52" s="1"/>
  <c r="W79" i="52"/>
  <c r="F79" i="52"/>
  <c r="U79" i="52"/>
  <c r="D79" i="52" s="1"/>
  <c r="AC49" i="52"/>
  <c r="L49" i="52" s="1"/>
  <c r="AA49" i="52"/>
  <c r="Y49" i="52"/>
  <c r="W49" i="52"/>
  <c r="F49" i="52" s="1"/>
  <c r="U49" i="52"/>
  <c r="AE168" i="52"/>
  <c r="AE167" i="52"/>
  <c r="BE167" i="52"/>
  <c r="AE166" i="52"/>
  <c r="BE166" i="52" s="1"/>
  <c r="BT166" i="52"/>
  <c r="AE165" i="52"/>
  <c r="BE165" i="52" s="1"/>
  <c r="AE164" i="52"/>
  <c r="BE164" i="52" s="1"/>
  <c r="AE163" i="52"/>
  <c r="N163" i="52"/>
  <c r="AE162" i="52"/>
  <c r="BE162" i="52"/>
  <c r="AE161" i="52"/>
  <c r="BE161" i="52" s="1"/>
  <c r="AE160" i="52"/>
  <c r="N160" i="52" s="1"/>
  <c r="AE159" i="52"/>
  <c r="BE159" i="52" s="1"/>
  <c r="AE158" i="52"/>
  <c r="AE157" i="52"/>
  <c r="BE157" i="52" s="1"/>
  <c r="AE138" i="52"/>
  <c r="BE138" i="52" s="1"/>
  <c r="AE137" i="52"/>
  <c r="BE137" i="52"/>
  <c r="AE136" i="52"/>
  <c r="BE136" i="52" s="1"/>
  <c r="AE135" i="52"/>
  <c r="BE135" i="52" s="1"/>
  <c r="AE134" i="52"/>
  <c r="BE134" i="52" s="1"/>
  <c r="AE133" i="52"/>
  <c r="N133" i="52"/>
  <c r="AE132" i="52"/>
  <c r="BE132" i="52" s="1"/>
  <c r="AE131" i="52"/>
  <c r="BE131" i="52" s="1"/>
  <c r="AE130" i="52"/>
  <c r="AE129" i="52"/>
  <c r="BE129" i="52" s="1"/>
  <c r="AE128" i="52"/>
  <c r="BE128" i="52" s="1"/>
  <c r="AE127" i="52"/>
  <c r="AE108" i="52"/>
  <c r="N108" i="52" s="1"/>
  <c r="AE107" i="52"/>
  <c r="N107" i="52" s="1"/>
  <c r="AE106" i="52"/>
  <c r="N106" i="52" s="1"/>
  <c r="AE105" i="52"/>
  <c r="BE105" i="52" s="1"/>
  <c r="AE104" i="52"/>
  <c r="AE103" i="52"/>
  <c r="BE103" i="52" s="1"/>
  <c r="AE102" i="52"/>
  <c r="AE101" i="52"/>
  <c r="AE100" i="52"/>
  <c r="BE100" i="52" s="1"/>
  <c r="AE99" i="52"/>
  <c r="BE99" i="52" s="1"/>
  <c r="AE98" i="52"/>
  <c r="BE98" i="52"/>
  <c r="AE97" i="52"/>
  <c r="N97" i="52" s="1"/>
  <c r="AE78" i="52"/>
  <c r="BE78" i="52" s="1"/>
  <c r="AE77" i="52"/>
  <c r="BE77" i="52"/>
  <c r="AE76" i="52"/>
  <c r="AE75" i="52"/>
  <c r="BE75" i="52" s="1"/>
  <c r="AE74" i="52"/>
  <c r="BE74" i="52"/>
  <c r="AE73" i="52"/>
  <c r="BE73" i="52" s="1"/>
  <c r="BT73" i="52" s="1"/>
  <c r="AE72" i="52"/>
  <c r="AE71" i="52"/>
  <c r="BE71" i="52" s="1"/>
  <c r="AE70" i="52"/>
  <c r="BE70" i="52" s="1"/>
  <c r="AE69" i="52"/>
  <c r="BE69" i="52" s="1"/>
  <c r="AE68" i="52"/>
  <c r="AE67" i="52"/>
  <c r="N67" i="52" s="1"/>
  <c r="AE48" i="52"/>
  <c r="BE48" i="52"/>
  <c r="AE47" i="52"/>
  <c r="BE47" i="52"/>
  <c r="AE46" i="52"/>
  <c r="BE46" i="52" s="1"/>
  <c r="AE45" i="52"/>
  <c r="BE45" i="52" s="1"/>
  <c r="AE44" i="52"/>
  <c r="BE44" i="52" s="1"/>
  <c r="AE43" i="52"/>
  <c r="BE43" i="52" s="1"/>
  <c r="AE42" i="52"/>
  <c r="AE41" i="52"/>
  <c r="BE41" i="52"/>
  <c r="AE40" i="52"/>
  <c r="BE40" i="52" s="1"/>
  <c r="AE39" i="52"/>
  <c r="BE39" i="52" s="1"/>
  <c r="AE38" i="52"/>
  <c r="BE38" i="52" s="1"/>
  <c r="AE37" i="52"/>
  <c r="N37" i="52"/>
  <c r="AE18" i="52"/>
  <c r="AE17" i="52"/>
  <c r="BE17" i="52" s="1"/>
  <c r="AE16" i="52"/>
  <c r="N16" i="52"/>
  <c r="BE16" i="52"/>
  <c r="AE15" i="52"/>
  <c r="BE15" i="52" s="1"/>
  <c r="AE14" i="52"/>
  <c r="BE14" i="52" s="1"/>
  <c r="AE13" i="52"/>
  <c r="BE13" i="52" s="1"/>
  <c r="BT13" i="52" s="1"/>
  <c r="AE12" i="52"/>
  <c r="AE11" i="52"/>
  <c r="BE11" i="52"/>
  <c r="AE10" i="52"/>
  <c r="N10" i="52" s="1"/>
  <c r="AE9" i="52"/>
  <c r="BE9" i="52" s="1"/>
  <c r="AE8" i="52"/>
  <c r="AE7" i="52"/>
  <c r="N7" i="52" s="1"/>
  <c r="AC19" i="52"/>
  <c r="L19" i="52" s="1"/>
  <c r="AA19" i="52"/>
  <c r="Y19" i="52"/>
  <c r="W19" i="52"/>
  <c r="U19" i="52"/>
  <c r="D146" i="41"/>
  <c r="D117" i="41"/>
  <c r="D88" i="41"/>
  <c r="D59" i="41"/>
  <c r="D30" i="41"/>
  <c r="L22" i="41"/>
  <c r="L23" i="41" s="1"/>
  <c r="J22" i="41"/>
  <c r="J23" i="41" s="1"/>
  <c r="H22" i="41"/>
  <c r="H23" i="41" s="1"/>
  <c r="F22" i="41"/>
  <c r="F23" i="41" s="1"/>
  <c r="D22" i="41"/>
  <c r="D23" i="41" s="1"/>
  <c r="B3" i="41"/>
  <c r="D1" i="41"/>
  <c r="D146" i="45"/>
  <c r="D117" i="45"/>
  <c r="D88" i="45"/>
  <c r="D59" i="45"/>
  <c r="D30" i="45"/>
  <c r="L22" i="45"/>
  <c r="L23" i="45" s="1"/>
  <c r="J22" i="45"/>
  <c r="J23" i="45" s="1"/>
  <c r="H22" i="45"/>
  <c r="H23" i="45" s="1"/>
  <c r="F22" i="45"/>
  <c r="F23" i="45" s="1"/>
  <c r="D22" i="45"/>
  <c r="D23" i="45" s="1"/>
  <c r="B3" i="45"/>
  <c r="D1" i="45"/>
  <c r="P8" i="90" s="1"/>
  <c r="D146" i="84"/>
  <c r="D117" i="84"/>
  <c r="D88" i="84"/>
  <c r="D59" i="84"/>
  <c r="D30" i="84"/>
  <c r="L22" i="84"/>
  <c r="L23" i="84" s="1"/>
  <c r="J22" i="84"/>
  <c r="J23" i="84" s="1"/>
  <c r="H22" i="84"/>
  <c r="H23" i="84" s="1"/>
  <c r="F22" i="84"/>
  <c r="F23" i="84" s="1"/>
  <c r="D22" i="84"/>
  <c r="D23" i="84" s="1"/>
  <c r="B3" i="84"/>
  <c r="D1" i="84"/>
  <c r="P8" i="91" s="1"/>
  <c r="D146" i="85"/>
  <c r="D117" i="85"/>
  <c r="D88" i="85"/>
  <c r="D59" i="85"/>
  <c r="D30" i="85"/>
  <c r="L22" i="85"/>
  <c r="L23" i="85" s="1"/>
  <c r="J22" i="85"/>
  <c r="J23" i="85" s="1"/>
  <c r="H22" i="85"/>
  <c r="H23" i="85" s="1"/>
  <c r="F22" i="85"/>
  <c r="F23" i="85"/>
  <c r="D22" i="85"/>
  <c r="D23" i="85" s="1"/>
  <c r="B3" i="85"/>
  <c r="D1" i="85"/>
  <c r="P8" i="92" s="1"/>
  <c r="D146" i="86"/>
  <c r="D117" i="86"/>
  <c r="D88" i="86"/>
  <c r="D59" i="86"/>
  <c r="D30" i="86"/>
  <c r="L22" i="86"/>
  <c r="L23" i="86" s="1"/>
  <c r="J22" i="86"/>
  <c r="J23" i="86" s="1"/>
  <c r="H22" i="86"/>
  <c r="H23" i="86" s="1"/>
  <c r="F22" i="86"/>
  <c r="F23" i="86" s="1"/>
  <c r="D22" i="86"/>
  <c r="D23" i="86" s="1"/>
  <c r="B3" i="86"/>
  <c r="D1" i="86"/>
  <c r="P8" i="93" s="1"/>
  <c r="D146" i="87"/>
  <c r="D117" i="87"/>
  <c r="D88" i="87"/>
  <c r="D59" i="87"/>
  <c r="D30" i="87"/>
  <c r="L22" i="87"/>
  <c r="L23" i="87" s="1"/>
  <c r="J22" i="87"/>
  <c r="J23" i="87" s="1"/>
  <c r="H22" i="87"/>
  <c r="H23" i="87" s="1"/>
  <c r="F22" i="87"/>
  <c r="F23" i="87" s="1"/>
  <c r="D22" i="87"/>
  <c r="D23" i="87" s="1"/>
  <c r="B3" i="87"/>
  <c r="D1" i="87"/>
  <c r="P8" i="94" s="1"/>
  <c r="B31" i="87"/>
  <c r="J51" i="87"/>
  <c r="J52" i="87" s="1"/>
  <c r="B31" i="86"/>
  <c r="B31" i="85"/>
  <c r="B31" i="84"/>
  <c r="B31" i="45"/>
  <c r="L51" i="45" s="1"/>
  <c r="L52" i="45" s="1"/>
  <c r="B31" i="41"/>
  <c r="DM18" i="16"/>
  <c r="DL18" i="16"/>
  <c r="DK18" i="16"/>
  <c r="DJ18" i="16"/>
  <c r="DI18" i="16"/>
  <c r="CS18" i="16"/>
  <c r="CR18" i="16"/>
  <c r="CQ18" i="16"/>
  <c r="CP18" i="16"/>
  <c r="CO18" i="16"/>
  <c r="BY18" i="16"/>
  <c r="BX18" i="16"/>
  <c r="BW18" i="16"/>
  <c r="BV18" i="16"/>
  <c r="BU18" i="16"/>
  <c r="BE18" i="16"/>
  <c r="BD18" i="16"/>
  <c r="BC18" i="16"/>
  <c r="BB18" i="16"/>
  <c r="BA18" i="16"/>
  <c r="AK18" i="16"/>
  <c r="AJ18" i="16"/>
  <c r="AI18" i="16"/>
  <c r="AH18" i="16"/>
  <c r="AG18" i="16"/>
  <c r="Q18" i="16"/>
  <c r="P18" i="16"/>
  <c r="O18" i="16"/>
  <c r="N18" i="16"/>
  <c r="M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R13" i="16"/>
  <c r="CX13" i="16"/>
  <c r="CD13" i="16"/>
  <c r="BJ13" i="16"/>
  <c r="AP13" i="16"/>
  <c r="V13" i="16"/>
  <c r="DR12" i="16"/>
  <c r="CX12" i="16"/>
  <c r="CD12" i="16"/>
  <c r="BJ12" i="16"/>
  <c r="AP12" i="16"/>
  <c r="V12" i="16"/>
  <c r="DC11" i="16"/>
  <c r="DB11" i="16"/>
  <c r="DA11" i="16"/>
  <c r="CZ11" i="16"/>
  <c r="CY11" i="16"/>
  <c r="CI11" i="16"/>
  <c r="CH11" i="16"/>
  <c r="CG11" i="16"/>
  <c r="CF11" i="16"/>
  <c r="CE11" i="16"/>
  <c r="BO11" i="16"/>
  <c r="BN11" i="16"/>
  <c r="BM11" i="16"/>
  <c r="BL11" i="16"/>
  <c r="BK11" i="16"/>
  <c r="AU11" i="16"/>
  <c r="AT11" i="16"/>
  <c r="AS11" i="16"/>
  <c r="AR11" i="16"/>
  <c r="AQ11" i="16"/>
  <c r="AA11" i="16"/>
  <c r="Z11" i="16"/>
  <c r="Y11" i="16"/>
  <c r="X11" i="16"/>
  <c r="W11" i="16"/>
  <c r="G11" i="16"/>
  <c r="F11" i="16"/>
  <c r="E11" i="16"/>
  <c r="D11" i="16"/>
  <c r="C11" i="16"/>
  <c r="DH10" i="16"/>
  <c r="CN10" i="16"/>
  <c r="BT10" i="16"/>
  <c r="AZ10" i="16"/>
  <c r="AF10" i="16"/>
  <c r="L10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S103" i="59"/>
  <c r="B103" i="59" s="1"/>
  <c r="S103" i="55"/>
  <c r="B103" i="55" s="1"/>
  <c r="S71" i="55"/>
  <c r="B71" i="55" s="1"/>
  <c r="S73" i="57"/>
  <c r="B73" i="57" s="1"/>
  <c r="S37" i="53"/>
  <c r="B37" i="53" s="1"/>
  <c r="S37" i="52"/>
  <c r="S106" i="53"/>
  <c r="B106" i="53" s="1"/>
  <c r="S97" i="52"/>
  <c r="B97" i="52" s="1"/>
  <c r="S166" i="52"/>
  <c r="B166" i="52" s="1"/>
  <c r="S103" i="57"/>
  <c r="S16" i="53"/>
  <c r="B16" i="53" s="1"/>
  <c r="S11" i="53"/>
  <c r="S133" i="52"/>
  <c r="B133" i="52" s="1"/>
  <c r="S43" i="52"/>
  <c r="B43" i="52" s="1"/>
  <c r="S136" i="53"/>
  <c r="B136" i="53" s="1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H16" i="53"/>
  <c r="E6" i="89"/>
  <c r="C1" i="88"/>
  <c r="BH7" i="52"/>
  <c r="BD7" i="52"/>
  <c r="AP4" i="16"/>
  <c r="AK10" i="16" s="1"/>
  <c r="AD154" i="53" s="1"/>
  <c r="BJ4" i="16"/>
  <c r="BC10" i="16" s="1"/>
  <c r="Z154" i="55" s="1"/>
  <c r="CD4" i="16"/>
  <c r="CX4" i="16"/>
  <c r="DR4" i="16"/>
  <c r="DJ10" i="16" s="1"/>
  <c r="V4" i="16"/>
  <c r="Q10" i="16"/>
  <c r="AD154" i="52" s="1"/>
  <c r="W1" i="16"/>
  <c r="AQ1" i="16" s="1"/>
  <c r="BK1" i="16" s="1"/>
  <c r="CE1" i="16" s="1"/>
  <c r="CY1" i="16" s="1"/>
  <c r="M152" i="52"/>
  <c r="M122" i="52"/>
  <c r="M92" i="52"/>
  <c r="M62" i="52"/>
  <c r="M32" i="52"/>
  <c r="M152" i="53"/>
  <c r="L152" i="53"/>
  <c r="D151" i="53"/>
  <c r="M122" i="53"/>
  <c r="L122" i="53"/>
  <c r="D121" i="53"/>
  <c r="M92" i="53"/>
  <c r="L92" i="53"/>
  <c r="D91" i="53"/>
  <c r="M62" i="53"/>
  <c r="L62" i="53"/>
  <c r="D61" i="53"/>
  <c r="M32" i="53"/>
  <c r="L32" i="53"/>
  <c r="D31" i="53"/>
  <c r="M2" i="53"/>
  <c r="L2" i="53"/>
  <c r="M152" i="55"/>
  <c r="K152" i="55"/>
  <c r="D151" i="55"/>
  <c r="M122" i="55"/>
  <c r="K122" i="55"/>
  <c r="D121" i="55"/>
  <c r="M92" i="55"/>
  <c r="K92" i="55"/>
  <c r="D91" i="55"/>
  <c r="M62" i="55"/>
  <c r="K62" i="55"/>
  <c r="D61" i="55"/>
  <c r="M32" i="55"/>
  <c r="K32" i="55"/>
  <c r="D31" i="55"/>
  <c r="M2" i="55"/>
  <c r="K2" i="55"/>
  <c r="M152" i="57"/>
  <c r="L152" i="57"/>
  <c r="M122" i="57"/>
  <c r="L122" i="57"/>
  <c r="M92" i="57"/>
  <c r="L92" i="57"/>
  <c r="M62" i="57"/>
  <c r="L62" i="57"/>
  <c r="M32" i="57"/>
  <c r="L32" i="57"/>
  <c r="L2" i="57"/>
  <c r="M2" i="57"/>
  <c r="D151" i="57"/>
  <c r="D121" i="57"/>
  <c r="D91" i="57"/>
  <c r="D61" i="57"/>
  <c r="D31" i="57"/>
  <c r="M152" i="59"/>
  <c r="L152" i="59"/>
  <c r="D151" i="59"/>
  <c r="M122" i="59"/>
  <c r="L122" i="59"/>
  <c r="D121" i="59"/>
  <c r="M92" i="59"/>
  <c r="L92" i="59"/>
  <c r="D91" i="59"/>
  <c r="M62" i="59"/>
  <c r="L62" i="59"/>
  <c r="D61" i="59"/>
  <c r="M32" i="59"/>
  <c r="L32" i="59"/>
  <c r="D31" i="59"/>
  <c r="L2" i="59"/>
  <c r="M2" i="59"/>
  <c r="V151" i="59"/>
  <c r="E151" i="59" s="1"/>
  <c r="V121" i="59"/>
  <c r="E121" i="59" s="1"/>
  <c r="V91" i="59"/>
  <c r="E91" i="59" s="1"/>
  <c r="V61" i="59"/>
  <c r="E61" i="59" s="1"/>
  <c r="V31" i="59"/>
  <c r="E31" i="59" s="1"/>
  <c r="V1" i="59"/>
  <c r="E1" i="59" s="1"/>
  <c r="V151" i="58"/>
  <c r="E151" i="58"/>
  <c r="V121" i="58"/>
  <c r="E121" i="58" s="1"/>
  <c r="V91" i="58"/>
  <c r="E91" i="58" s="1"/>
  <c r="V61" i="58"/>
  <c r="E61" i="58" s="1"/>
  <c r="V31" i="58"/>
  <c r="E31" i="58" s="1"/>
  <c r="V1" i="58"/>
  <c r="E1" i="58" s="1"/>
  <c r="V151" i="57"/>
  <c r="E151" i="57" s="1"/>
  <c r="V121" i="57"/>
  <c r="E121" i="57" s="1"/>
  <c r="V91" i="57"/>
  <c r="E91" i="57" s="1"/>
  <c r="V61" i="57"/>
  <c r="E61" i="57" s="1"/>
  <c r="V31" i="57"/>
  <c r="E31" i="57" s="1"/>
  <c r="V1" i="57"/>
  <c r="E1" i="57" s="1"/>
  <c r="N45" i="57"/>
  <c r="V151" i="55"/>
  <c r="E151" i="55" s="1"/>
  <c r="V121" i="55"/>
  <c r="E121" i="55" s="1"/>
  <c r="V91" i="55"/>
  <c r="E91" i="55" s="1"/>
  <c r="V61" i="55"/>
  <c r="E61" i="55"/>
  <c r="V31" i="55"/>
  <c r="E31" i="55" s="1"/>
  <c r="V1" i="55"/>
  <c r="E1" i="55" s="1"/>
  <c r="V151" i="53"/>
  <c r="E151" i="53" s="1"/>
  <c r="V121" i="53"/>
  <c r="E121" i="53"/>
  <c r="V91" i="53"/>
  <c r="E91" i="53" s="1"/>
  <c r="V61" i="53"/>
  <c r="E61" i="53" s="1"/>
  <c r="V31" i="53"/>
  <c r="E31" i="53" s="1"/>
  <c r="L152" i="52"/>
  <c r="D152" i="52"/>
  <c r="D151" i="52"/>
  <c r="L122" i="52"/>
  <c r="D122" i="52"/>
  <c r="D121" i="52"/>
  <c r="L92" i="52"/>
  <c r="D92" i="52"/>
  <c r="D91" i="52"/>
  <c r="D62" i="52"/>
  <c r="L62" i="52"/>
  <c r="D61" i="52"/>
  <c r="L32" i="52"/>
  <c r="D31" i="52"/>
  <c r="L2" i="52"/>
  <c r="M2" i="52"/>
  <c r="V151" i="52"/>
  <c r="E151" i="52"/>
  <c r="V121" i="52"/>
  <c r="E121" i="52" s="1"/>
  <c r="V91" i="52"/>
  <c r="E91" i="52" s="1"/>
  <c r="V61" i="52"/>
  <c r="E61" i="52" s="1"/>
  <c r="V31" i="52"/>
  <c r="E31" i="52"/>
  <c r="V1" i="52"/>
  <c r="E1" i="52" s="1"/>
  <c r="AC172" i="59"/>
  <c r="AA172" i="59"/>
  <c r="Y172" i="59"/>
  <c r="W172" i="59"/>
  <c r="W173" i="59" s="1"/>
  <c r="F173" i="59" s="1"/>
  <c r="U172" i="59"/>
  <c r="U173" i="59" s="1"/>
  <c r="D173" i="59" s="1"/>
  <c r="AC142" i="59"/>
  <c r="AA142" i="59"/>
  <c r="Y142" i="59"/>
  <c r="W142" i="59"/>
  <c r="U142" i="59"/>
  <c r="U143" i="59" s="1"/>
  <c r="D143" i="59" s="1"/>
  <c r="AC112" i="59"/>
  <c r="AA112" i="59"/>
  <c r="Y112" i="59"/>
  <c r="Y113" i="59" s="1"/>
  <c r="H113" i="59" s="1"/>
  <c r="W112" i="59"/>
  <c r="U112" i="59"/>
  <c r="AC82" i="59"/>
  <c r="AC83" i="59" s="1"/>
  <c r="L83" i="59" s="1"/>
  <c r="AA82" i="59"/>
  <c r="Y82" i="59"/>
  <c r="Y88" i="59" s="1"/>
  <c r="Z76" i="59" s="1"/>
  <c r="I76" i="59" s="1"/>
  <c r="W82" i="59"/>
  <c r="U82" i="59"/>
  <c r="AC52" i="59"/>
  <c r="AA52" i="59"/>
  <c r="AA53" i="59" s="1"/>
  <c r="Y52" i="59"/>
  <c r="W52" i="59"/>
  <c r="U52" i="59"/>
  <c r="U55" i="59" s="1"/>
  <c r="AC172" i="58"/>
  <c r="L172" i="58" s="1"/>
  <c r="AA172" i="58"/>
  <c r="J172" i="58" s="1"/>
  <c r="Y172" i="58"/>
  <c r="W172" i="58"/>
  <c r="W173" i="58" s="1"/>
  <c r="F173" i="58" s="1"/>
  <c r="U172" i="58"/>
  <c r="AC142" i="58"/>
  <c r="AC143" i="58" s="1"/>
  <c r="L143" i="58" s="1"/>
  <c r="AA142" i="58"/>
  <c r="Y142" i="58"/>
  <c r="W142" i="58"/>
  <c r="F142" i="58" s="1"/>
  <c r="U142" i="58"/>
  <c r="U146" i="58" s="1"/>
  <c r="V130" i="58" s="1"/>
  <c r="E130" i="58" s="1"/>
  <c r="AC112" i="58"/>
  <c r="AA112" i="58"/>
  <c r="AA113" i="58" s="1"/>
  <c r="J113" i="58" s="1"/>
  <c r="Y112" i="58"/>
  <c r="Y113" i="58"/>
  <c r="H113" i="58" s="1"/>
  <c r="W112" i="58"/>
  <c r="U112" i="58"/>
  <c r="U113" i="58" s="1"/>
  <c r="D113" i="58" s="1"/>
  <c r="AC82" i="58"/>
  <c r="AC83" i="58" s="1"/>
  <c r="L83" i="58"/>
  <c r="AA82" i="58"/>
  <c r="J82" i="58" s="1"/>
  <c r="Y82" i="58"/>
  <c r="W82" i="58"/>
  <c r="W83" i="58"/>
  <c r="F83" i="58" s="1"/>
  <c r="U82" i="58"/>
  <c r="AC52" i="58"/>
  <c r="AA52" i="58"/>
  <c r="Y52" i="58"/>
  <c r="W52" i="58"/>
  <c r="U52" i="58"/>
  <c r="D52" i="58" s="1"/>
  <c r="AC172" i="57"/>
  <c r="AC173" i="57" s="1"/>
  <c r="L173" i="57" s="1"/>
  <c r="AA172" i="57"/>
  <c r="Y172" i="57"/>
  <c r="W172" i="57"/>
  <c r="U172" i="57"/>
  <c r="D172" i="57" s="1"/>
  <c r="AC142" i="57"/>
  <c r="L142" i="57" s="1"/>
  <c r="AA142" i="57"/>
  <c r="Y142" i="57"/>
  <c r="W142" i="57"/>
  <c r="U142" i="57"/>
  <c r="AC112" i="57"/>
  <c r="AC113" i="57" s="1"/>
  <c r="L113" i="57" s="1"/>
  <c r="AA112" i="57"/>
  <c r="J112" i="57"/>
  <c r="Y112" i="57"/>
  <c r="Y118" i="57"/>
  <c r="H118" i="57" s="1"/>
  <c r="W112" i="57"/>
  <c r="F112" i="57" s="1"/>
  <c r="U112" i="57"/>
  <c r="D112" i="57" s="1"/>
  <c r="AC82" i="57"/>
  <c r="AC83" i="57" s="1"/>
  <c r="L83" i="57" s="1"/>
  <c r="AA82" i="57"/>
  <c r="AA83" i="57" s="1"/>
  <c r="J83" i="57" s="1"/>
  <c r="Y82" i="57"/>
  <c r="H82" i="57" s="1"/>
  <c r="W82" i="57"/>
  <c r="U82" i="57"/>
  <c r="U88" i="57" s="1"/>
  <c r="D88" i="57" s="1"/>
  <c r="AC52" i="57"/>
  <c r="L52" i="57" s="1"/>
  <c r="AA52" i="57"/>
  <c r="Y52" i="57"/>
  <c r="W52" i="57"/>
  <c r="U52" i="57"/>
  <c r="AC172" i="55"/>
  <c r="AA172" i="55"/>
  <c r="Y172" i="55"/>
  <c r="H172" i="55" s="1"/>
  <c r="W172" i="55"/>
  <c r="W178" i="55"/>
  <c r="X166" i="55" s="1"/>
  <c r="G166" i="55" s="1"/>
  <c r="U172" i="55"/>
  <c r="D172" i="55" s="1"/>
  <c r="AC142" i="55"/>
  <c r="AA142" i="55"/>
  <c r="J142" i="55" s="1"/>
  <c r="Y142" i="55"/>
  <c r="W142" i="55"/>
  <c r="W143" i="55" s="1"/>
  <c r="F143" i="55" s="1"/>
  <c r="U142" i="55"/>
  <c r="AC112" i="55"/>
  <c r="AA112" i="55"/>
  <c r="AA113" i="55" s="1"/>
  <c r="J113" i="55" s="1"/>
  <c r="Y112" i="55"/>
  <c r="H112" i="55" s="1"/>
  <c r="W112" i="55"/>
  <c r="U112" i="55"/>
  <c r="AC82" i="55"/>
  <c r="AA82" i="55"/>
  <c r="Y82" i="55"/>
  <c r="H82" i="55" s="1"/>
  <c r="W82" i="55"/>
  <c r="F82" i="55" s="1"/>
  <c r="U82" i="55"/>
  <c r="AC52" i="55"/>
  <c r="L52" i="55" s="1"/>
  <c r="AA52" i="55"/>
  <c r="J52" i="55" s="1"/>
  <c r="Y52" i="55"/>
  <c r="W52" i="55"/>
  <c r="F52" i="55"/>
  <c r="U52" i="55"/>
  <c r="U53" i="55" s="1"/>
  <c r="D53" i="55" s="1"/>
  <c r="AC172" i="53"/>
  <c r="L172" i="53"/>
  <c r="AA172" i="53"/>
  <c r="J172" i="53" s="1"/>
  <c r="Y172" i="53"/>
  <c r="H172" i="53" s="1"/>
  <c r="W172" i="53"/>
  <c r="U172" i="53"/>
  <c r="AC142" i="53"/>
  <c r="AA142" i="53"/>
  <c r="AA143" i="53"/>
  <c r="J143" i="53" s="1"/>
  <c r="Y142" i="53"/>
  <c r="Y143" i="53" s="1"/>
  <c r="H143" i="53" s="1"/>
  <c r="W142" i="53"/>
  <c r="U142" i="53"/>
  <c r="D142" i="53" s="1"/>
  <c r="AC112" i="53"/>
  <c r="AC113" i="53"/>
  <c r="L113" i="53" s="1"/>
  <c r="AA112" i="53"/>
  <c r="AA113" i="53" s="1"/>
  <c r="J113" i="53"/>
  <c r="Y112" i="53"/>
  <c r="W112" i="53"/>
  <c r="U112" i="53"/>
  <c r="AC82" i="53"/>
  <c r="AA82" i="53"/>
  <c r="Y82" i="53"/>
  <c r="H82" i="53" s="1"/>
  <c r="W82" i="53"/>
  <c r="F82" i="53" s="1"/>
  <c r="U82" i="53"/>
  <c r="AC52" i="53"/>
  <c r="AA52" i="53"/>
  <c r="AA53" i="53" s="1"/>
  <c r="J53" i="53" s="1"/>
  <c r="Y52" i="53"/>
  <c r="W52" i="53"/>
  <c r="W55" i="53" s="1"/>
  <c r="F55" i="53" s="1"/>
  <c r="U52" i="53"/>
  <c r="D52" i="53" s="1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AC172" i="52"/>
  <c r="L172" i="52" s="1"/>
  <c r="AA172" i="52"/>
  <c r="Y172" i="52"/>
  <c r="Y173" i="52"/>
  <c r="H173" i="52" s="1"/>
  <c r="W172" i="52"/>
  <c r="F172" i="52" s="1"/>
  <c r="U172" i="52"/>
  <c r="AC142" i="52"/>
  <c r="AA142" i="52"/>
  <c r="J142" i="52"/>
  <c r="Y142" i="52"/>
  <c r="W142" i="52"/>
  <c r="U142" i="52"/>
  <c r="D142" i="52" s="1"/>
  <c r="AC112" i="52"/>
  <c r="L112" i="52"/>
  <c r="AA112" i="52"/>
  <c r="AA115" i="52"/>
  <c r="J115" i="52" s="1"/>
  <c r="Y112" i="52"/>
  <c r="Y113" i="52" s="1"/>
  <c r="H113" i="52" s="1"/>
  <c r="W112" i="52"/>
  <c r="U112" i="52"/>
  <c r="AC82" i="52"/>
  <c r="AC83" i="52" s="1"/>
  <c r="L83" i="52" s="1"/>
  <c r="AA82" i="52"/>
  <c r="AA83" i="52" s="1"/>
  <c r="J83" i="52" s="1"/>
  <c r="Y82" i="52"/>
  <c r="Y83" i="52" s="1"/>
  <c r="H83" i="52" s="1"/>
  <c r="W82" i="52"/>
  <c r="U82" i="52"/>
  <c r="U83" i="52" s="1"/>
  <c r="D83" i="52" s="1"/>
  <c r="AC52" i="52"/>
  <c r="AC53" i="52"/>
  <c r="L53" i="52" s="1"/>
  <c r="AA52" i="52"/>
  <c r="AA53" i="52" s="1"/>
  <c r="J53" i="52" s="1"/>
  <c r="Y52" i="52"/>
  <c r="Y53" i="52" s="1"/>
  <c r="H53" i="52" s="1"/>
  <c r="W52" i="52"/>
  <c r="W53" i="52" s="1"/>
  <c r="F53" i="52"/>
  <c r="U52" i="52"/>
  <c r="U57" i="52" s="1"/>
  <c r="S71" i="52"/>
  <c r="B71" i="52" s="1"/>
  <c r="B1" i="71"/>
  <c r="C1" i="71"/>
  <c r="D1" i="71"/>
  <c r="S98" i="53"/>
  <c r="B98" i="53" s="1"/>
  <c r="S104" i="53"/>
  <c r="B104" i="53" s="1"/>
  <c r="S128" i="52"/>
  <c r="B128" i="52" s="1"/>
  <c r="S167" i="53"/>
  <c r="B167" i="53" s="1"/>
  <c r="S158" i="53"/>
  <c r="B158" i="53" s="1"/>
  <c r="N134" i="53"/>
  <c r="S168" i="59"/>
  <c r="B168" i="59" s="1"/>
  <c r="S167" i="59"/>
  <c r="B167" i="59" s="1"/>
  <c r="S166" i="59"/>
  <c r="B166" i="59" s="1"/>
  <c r="S165" i="59"/>
  <c r="B165" i="59" s="1"/>
  <c r="S164" i="59"/>
  <c r="B164" i="59" s="1"/>
  <c r="S163" i="59"/>
  <c r="B163" i="59" s="1"/>
  <c r="S162" i="59"/>
  <c r="B162" i="59" s="1"/>
  <c r="S161" i="59"/>
  <c r="B161" i="59" s="1"/>
  <c r="S160" i="59"/>
  <c r="B160" i="59" s="1"/>
  <c r="S159" i="59"/>
  <c r="B159" i="59" s="1"/>
  <c r="S158" i="59"/>
  <c r="B158" i="59" s="1"/>
  <c r="S157" i="59"/>
  <c r="B157" i="59" s="1"/>
  <c r="S153" i="59"/>
  <c r="BQ157" i="59" s="1"/>
  <c r="BQ158" i="59" s="1"/>
  <c r="BQ159" i="59" s="1"/>
  <c r="BQ160" i="59" s="1"/>
  <c r="BQ161" i="59" s="1"/>
  <c r="BQ162" i="59" s="1"/>
  <c r="BQ163" i="59" s="1"/>
  <c r="BQ164" i="59" s="1"/>
  <c r="BQ165" i="59" s="1"/>
  <c r="BQ166" i="59" s="1"/>
  <c r="BQ167" i="59" s="1"/>
  <c r="BQ168" i="59" s="1"/>
  <c r="S138" i="59"/>
  <c r="B138" i="59" s="1"/>
  <c r="S137" i="59"/>
  <c r="B137" i="59" s="1"/>
  <c r="S135" i="59"/>
  <c r="B135" i="59" s="1"/>
  <c r="S134" i="59"/>
  <c r="B134" i="59" s="1"/>
  <c r="S133" i="59"/>
  <c r="B133" i="59" s="1"/>
  <c r="S132" i="59"/>
  <c r="B132" i="59" s="1"/>
  <c r="S131" i="59"/>
  <c r="B131" i="59" s="1"/>
  <c r="S130" i="59"/>
  <c r="B130" i="59" s="1"/>
  <c r="S129" i="59"/>
  <c r="B129" i="59" s="1"/>
  <c r="S128" i="59"/>
  <c r="B128" i="59" s="1"/>
  <c r="S127" i="59"/>
  <c r="B127" i="59" s="1"/>
  <c r="S123" i="59"/>
  <c r="BQ127" i="59" s="1"/>
  <c r="BQ128" i="59" s="1"/>
  <c r="BQ129" i="59" s="1"/>
  <c r="BQ130" i="59" s="1"/>
  <c r="BQ131" i="59" s="1"/>
  <c r="BQ132" i="59" s="1"/>
  <c r="BQ133" i="59" s="1"/>
  <c r="BQ134" i="59" s="1"/>
  <c r="BQ135" i="59" s="1"/>
  <c r="BQ136" i="59" s="1"/>
  <c r="BQ137" i="59" s="1"/>
  <c r="BQ138" i="59" s="1"/>
  <c r="S108" i="59"/>
  <c r="B108" i="59" s="1"/>
  <c r="S107" i="59"/>
  <c r="B107" i="59" s="1"/>
  <c r="S106" i="59"/>
  <c r="B106" i="59" s="1"/>
  <c r="S105" i="59"/>
  <c r="B105" i="59" s="1"/>
  <c r="S104" i="59"/>
  <c r="B104" i="59" s="1"/>
  <c r="S102" i="59"/>
  <c r="B102" i="59" s="1"/>
  <c r="S101" i="59"/>
  <c r="B101" i="59" s="1"/>
  <c r="S99" i="59"/>
  <c r="B99" i="59" s="1"/>
  <c r="S98" i="59"/>
  <c r="B98" i="59" s="1"/>
  <c r="S97" i="59"/>
  <c r="B97" i="59" s="1"/>
  <c r="S93" i="59"/>
  <c r="BQ97" i="59" s="1"/>
  <c r="BQ98" i="59"/>
  <c r="BQ99" i="59" s="1"/>
  <c r="BQ100" i="59" s="1"/>
  <c r="BQ101" i="59" s="1"/>
  <c r="BQ102" i="59" s="1"/>
  <c r="BQ103" i="59" s="1"/>
  <c r="BQ104" i="59" s="1"/>
  <c r="BQ105" i="59" s="1"/>
  <c r="BQ106" i="59" s="1"/>
  <c r="BQ107" i="59" s="1"/>
  <c r="BQ108" i="59" s="1"/>
  <c r="S78" i="59"/>
  <c r="B78" i="59" s="1"/>
  <c r="S77" i="59"/>
  <c r="B77" i="59" s="1"/>
  <c r="S76" i="59"/>
  <c r="B76" i="59" s="1"/>
  <c r="S75" i="59"/>
  <c r="B75" i="59" s="1"/>
  <c r="S74" i="59"/>
  <c r="B74" i="59" s="1"/>
  <c r="S72" i="59"/>
  <c r="B72" i="59" s="1"/>
  <c r="S71" i="59"/>
  <c r="B71" i="59" s="1"/>
  <c r="S70" i="59"/>
  <c r="B70" i="59" s="1"/>
  <c r="S69" i="59"/>
  <c r="B69" i="59" s="1"/>
  <c r="S68" i="59"/>
  <c r="B68" i="59" s="1"/>
  <c r="S67" i="59"/>
  <c r="S63" i="59"/>
  <c r="BQ67" i="59"/>
  <c r="BQ68" i="59" s="1"/>
  <c r="BQ69" i="59" s="1"/>
  <c r="BQ70" i="59" s="1"/>
  <c r="BQ71" i="59" s="1"/>
  <c r="BQ72" i="59" s="1"/>
  <c r="BQ73" i="59" s="1"/>
  <c r="BQ74" i="59" s="1"/>
  <c r="BQ75" i="59" s="1"/>
  <c r="BQ76" i="59" s="1"/>
  <c r="BQ77" i="59" s="1"/>
  <c r="BQ78" i="59" s="1"/>
  <c r="S48" i="59"/>
  <c r="B48" i="59" s="1"/>
  <c r="S47" i="59"/>
  <c r="B47" i="59" s="1"/>
  <c r="S46" i="59"/>
  <c r="S45" i="59"/>
  <c r="B45" i="59" s="1"/>
  <c r="S44" i="59"/>
  <c r="B44" i="59" s="1"/>
  <c r="S43" i="59"/>
  <c r="B43" i="59" s="1"/>
  <c r="S42" i="59"/>
  <c r="B42" i="59" s="1"/>
  <c r="S41" i="59"/>
  <c r="B41" i="59" s="1"/>
  <c r="S40" i="59"/>
  <c r="B40" i="59" s="1"/>
  <c r="S39" i="59"/>
  <c r="B39" i="59" s="1"/>
  <c r="S38" i="59"/>
  <c r="B38" i="59" s="1"/>
  <c r="S37" i="59"/>
  <c r="B37" i="59" s="1"/>
  <c r="S33" i="59"/>
  <c r="BQ37" i="59" s="1"/>
  <c r="BQ38" i="59" s="1"/>
  <c r="BQ39" i="59" s="1"/>
  <c r="BQ40" i="59" s="1"/>
  <c r="BQ41" i="59" s="1"/>
  <c r="BQ42" i="59"/>
  <c r="BQ43" i="59" s="1"/>
  <c r="BQ44" i="59" s="1"/>
  <c r="BQ45" i="59" s="1"/>
  <c r="BQ46" i="59" s="1"/>
  <c r="BQ47" i="59" s="1"/>
  <c r="BQ48" i="59" s="1"/>
  <c r="S18" i="59"/>
  <c r="B18" i="59" s="1"/>
  <c r="S17" i="59"/>
  <c r="B17" i="59" s="1"/>
  <c r="S16" i="59"/>
  <c r="B16" i="59" s="1"/>
  <c r="S15" i="59"/>
  <c r="B15" i="59" s="1"/>
  <c r="S14" i="59"/>
  <c r="B14" i="59" s="1"/>
  <c r="S13" i="59"/>
  <c r="B13" i="59" s="1"/>
  <c r="S12" i="59"/>
  <c r="S11" i="59"/>
  <c r="B11" i="59" s="1"/>
  <c r="S9" i="59"/>
  <c r="B9" i="59" s="1"/>
  <c r="S8" i="59"/>
  <c r="B8" i="59" s="1"/>
  <c r="S168" i="58"/>
  <c r="B168" i="58" s="1"/>
  <c r="S167" i="58"/>
  <c r="B167" i="58" s="1"/>
  <c r="S166" i="58"/>
  <c r="B166" i="58" s="1"/>
  <c r="S165" i="58"/>
  <c r="B165" i="58" s="1"/>
  <c r="S164" i="58"/>
  <c r="B164" i="58" s="1"/>
  <c r="S163" i="58"/>
  <c r="B163" i="58" s="1"/>
  <c r="S162" i="58"/>
  <c r="B162" i="58" s="1"/>
  <c r="S161" i="58"/>
  <c r="B161" i="58" s="1"/>
  <c r="S160" i="58"/>
  <c r="B160" i="58" s="1"/>
  <c r="S159" i="58"/>
  <c r="B159" i="58" s="1"/>
  <c r="S158" i="58"/>
  <c r="B158" i="58" s="1"/>
  <c r="S157" i="58"/>
  <c r="B157" i="58" s="1"/>
  <c r="S153" i="58"/>
  <c r="BQ157" i="58"/>
  <c r="BQ158" i="58" s="1"/>
  <c r="BQ159" i="58" s="1"/>
  <c r="BQ160" i="58" s="1"/>
  <c r="BQ161" i="58" s="1"/>
  <c r="BQ162" i="58" s="1"/>
  <c r="BQ163" i="58" s="1"/>
  <c r="BQ164" i="58" s="1"/>
  <c r="BQ165" i="58" s="1"/>
  <c r="BQ166" i="58" s="1"/>
  <c r="BQ167" i="58" s="1"/>
  <c r="BQ168" i="58" s="1"/>
  <c r="S138" i="58"/>
  <c r="B138" i="58" s="1"/>
  <c r="S137" i="58"/>
  <c r="B137" i="58" s="1"/>
  <c r="S136" i="58"/>
  <c r="B136" i="58" s="1"/>
  <c r="S135" i="58"/>
  <c r="B135" i="58" s="1"/>
  <c r="S134" i="58"/>
  <c r="B134" i="58" s="1"/>
  <c r="S132" i="58"/>
  <c r="B132" i="58" s="1"/>
  <c r="S131" i="58"/>
  <c r="B131" i="58" s="1"/>
  <c r="S130" i="58"/>
  <c r="B130" i="58" s="1"/>
  <c r="S129" i="58"/>
  <c r="B129" i="58" s="1"/>
  <c r="S128" i="58"/>
  <c r="B128" i="58" s="1"/>
  <c r="S127" i="58"/>
  <c r="B127" i="58" s="1"/>
  <c r="S123" i="58"/>
  <c r="BQ127" i="58" s="1"/>
  <c r="BQ128" i="58" s="1"/>
  <c r="BQ129" i="58" s="1"/>
  <c r="BQ130" i="58" s="1"/>
  <c r="BQ131" i="58" s="1"/>
  <c r="BQ132" i="58" s="1"/>
  <c r="BQ133" i="58" s="1"/>
  <c r="BQ134" i="58" s="1"/>
  <c r="BQ135" i="58" s="1"/>
  <c r="BQ136" i="58" s="1"/>
  <c r="BQ137" i="58" s="1"/>
  <c r="BQ138" i="58" s="1"/>
  <c r="S108" i="58"/>
  <c r="B108" i="58" s="1"/>
  <c r="S107" i="58"/>
  <c r="B107" i="58" s="1"/>
  <c r="S106" i="58"/>
  <c r="B106" i="58" s="1"/>
  <c r="S105" i="58"/>
  <c r="B105" i="58" s="1"/>
  <c r="S104" i="58"/>
  <c r="B104" i="58" s="1"/>
  <c r="S103" i="58"/>
  <c r="B103" i="58" s="1"/>
  <c r="S102" i="58"/>
  <c r="B102" i="58" s="1"/>
  <c r="S101" i="58"/>
  <c r="B101" i="58" s="1"/>
  <c r="S99" i="58"/>
  <c r="B99" i="58" s="1"/>
  <c r="S98" i="58"/>
  <c r="B98" i="58" s="1"/>
  <c r="S93" i="58"/>
  <c r="BQ97" i="58" s="1"/>
  <c r="BQ98" i="58" s="1"/>
  <c r="BQ99" i="58" s="1"/>
  <c r="BQ100" i="58" s="1"/>
  <c r="BQ101" i="58" s="1"/>
  <c r="BQ102" i="58" s="1"/>
  <c r="BQ103" i="58" s="1"/>
  <c r="BQ104" i="58" s="1"/>
  <c r="BQ105" i="58" s="1"/>
  <c r="BQ106" i="58" s="1"/>
  <c r="BQ107" i="58" s="1"/>
  <c r="BQ108" i="58" s="1"/>
  <c r="S78" i="58"/>
  <c r="B78" i="58" s="1"/>
  <c r="S77" i="58"/>
  <c r="B77" i="58" s="1"/>
  <c r="S76" i="58"/>
  <c r="B76" i="58" s="1"/>
  <c r="S75" i="58"/>
  <c r="B75" i="58" s="1"/>
  <c r="S74" i="58"/>
  <c r="B74" i="58" s="1"/>
  <c r="S72" i="58"/>
  <c r="B72" i="58" s="1"/>
  <c r="S71" i="58"/>
  <c r="B71" i="58" s="1"/>
  <c r="S70" i="58"/>
  <c r="B70" i="58" s="1"/>
  <c r="S69" i="58"/>
  <c r="B69" i="58" s="1"/>
  <c r="S68" i="58"/>
  <c r="B68" i="58" s="1"/>
  <c r="S67" i="58"/>
  <c r="B67" i="58" s="1"/>
  <c r="S63" i="58"/>
  <c r="BQ67" i="58" s="1"/>
  <c r="BQ68" i="58" s="1"/>
  <c r="BQ69" i="58" s="1"/>
  <c r="BQ70" i="58" s="1"/>
  <c r="BQ71" i="58" s="1"/>
  <c r="BQ72" i="58" s="1"/>
  <c r="BQ73" i="58" s="1"/>
  <c r="BQ74" i="58" s="1"/>
  <c r="BQ75" i="58" s="1"/>
  <c r="BQ76" i="58" s="1"/>
  <c r="BQ77" i="58" s="1"/>
  <c r="BQ78" i="58" s="1"/>
  <c r="S48" i="58"/>
  <c r="B48" i="58" s="1"/>
  <c r="S47" i="58"/>
  <c r="B47" i="58" s="1"/>
  <c r="S45" i="58"/>
  <c r="B45" i="58" s="1"/>
  <c r="S44" i="58"/>
  <c r="B44" i="58" s="1"/>
  <c r="S43" i="58"/>
  <c r="B43" i="58" s="1"/>
  <c r="S42" i="58"/>
  <c r="B42" i="58" s="1"/>
  <c r="S41" i="58"/>
  <c r="B41" i="58" s="1"/>
  <c r="S40" i="58"/>
  <c r="B40" i="58"/>
  <c r="S39" i="58"/>
  <c r="B39" i="58" s="1"/>
  <c r="S38" i="58"/>
  <c r="B38" i="58" s="1"/>
  <c r="S37" i="58"/>
  <c r="B37" i="58" s="1"/>
  <c r="S33" i="58"/>
  <c r="BQ37" i="58" s="1"/>
  <c r="BQ38" i="58" s="1"/>
  <c r="BQ39" i="58" s="1"/>
  <c r="BQ40" i="58" s="1"/>
  <c r="BQ41" i="58" s="1"/>
  <c r="BQ42" i="58" s="1"/>
  <c r="BQ43" i="58" s="1"/>
  <c r="BQ44" i="58" s="1"/>
  <c r="BQ45" i="58" s="1"/>
  <c r="BQ46" i="58" s="1"/>
  <c r="BQ47" i="58" s="1"/>
  <c r="BQ48" i="58" s="1"/>
  <c r="S18" i="58"/>
  <c r="B18" i="58" s="1"/>
  <c r="S17" i="58"/>
  <c r="S15" i="58"/>
  <c r="B15" i="58" s="1"/>
  <c r="S14" i="58"/>
  <c r="B14" i="58" s="1"/>
  <c r="S12" i="58"/>
  <c r="S11" i="58"/>
  <c r="B11" i="58" s="1"/>
  <c r="S9" i="58"/>
  <c r="B9" i="58" s="1"/>
  <c r="S8" i="58"/>
  <c r="B8" i="58" s="1"/>
  <c r="S7" i="58"/>
  <c r="S168" i="57"/>
  <c r="B168" i="57" s="1"/>
  <c r="S167" i="57"/>
  <c r="B167" i="57" s="1"/>
  <c r="S165" i="57"/>
  <c r="B165" i="57" s="1"/>
  <c r="S164" i="57"/>
  <c r="B164" i="57" s="1"/>
  <c r="S162" i="57"/>
  <c r="B162" i="57" s="1"/>
  <c r="S161" i="57"/>
  <c r="B161" i="57" s="1"/>
  <c r="S160" i="57"/>
  <c r="B160" i="57" s="1"/>
  <c r="S159" i="57"/>
  <c r="B159" i="57" s="1"/>
  <c r="S158" i="57"/>
  <c r="B158" i="57" s="1"/>
  <c r="S153" i="57"/>
  <c r="BQ157" i="57" s="1"/>
  <c r="BQ158" i="57" s="1"/>
  <c r="BQ159" i="57" s="1"/>
  <c r="BQ160" i="57" s="1"/>
  <c r="BQ161" i="57" s="1"/>
  <c r="BQ162" i="57" s="1"/>
  <c r="BQ163" i="57" s="1"/>
  <c r="BQ164" i="57"/>
  <c r="BQ165" i="57" s="1"/>
  <c r="BQ166" i="57" s="1"/>
  <c r="BQ167" i="57" s="1"/>
  <c r="BQ168" i="57" s="1"/>
  <c r="S138" i="57"/>
  <c r="B138" i="57" s="1"/>
  <c r="S137" i="57"/>
  <c r="B137" i="57" s="1"/>
  <c r="S135" i="57"/>
  <c r="B135" i="57" s="1"/>
  <c r="S134" i="57"/>
  <c r="B134" i="57" s="1"/>
  <c r="S132" i="57"/>
  <c r="B132" i="57" s="1"/>
  <c r="S131" i="57"/>
  <c r="B131" i="57" s="1"/>
  <c r="S129" i="57"/>
  <c r="B129" i="57" s="1"/>
  <c r="S128" i="57"/>
  <c r="B128" i="57" s="1"/>
  <c r="S123" i="57"/>
  <c r="BQ127" i="57" s="1"/>
  <c r="BQ128" i="57" s="1"/>
  <c r="BQ129" i="57" s="1"/>
  <c r="BQ130" i="57" s="1"/>
  <c r="BQ131" i="57" s="1"/>
  <c r="BQ132" i="57" s="1"/>
  <c r="BQ133" i="57" s="1"/>
  <c r="BQ134" i="57" s="1"/>
  <c r="BQ135" i="57" s="1"/>
  <c r="BQ136" i="57" s="1"/>
  <c r="BQ137" i="57" s="1"/>
  <c r="BQ138" i="57" s="1"/>
  <c r="S108" i="57"/>
  <c r="B108" i="57" s="1"/>
  <c r="S107" i="57"/>
  <c r="B107" i="57" s="1"/>
  <c r="S106" i="57"/>
  <c r="B106" i="57" s="1"/>
  <c r="S105" i="57"/>
  <c r="B105" i="57" s="1"/>
  <c r="S104" i="57"/>
  <c r="B104" i="57" s="1"/>
  <c r="S102" i="57"/>
  <c r="B102" i="57" s="1"/>
  <c r="S101" i="57"/>
  <c r="B101" i="57" s="1"/>
  <c r="S99" i="57"/>
  <c r="B99" i="57" s="1"/>
  <c r="S98" i="57"/>
  <c r="S93" i="57"/>
  <c r="BQ97" i="57"/>
  <c r="BQ98" i="57" s="1"/>
  <c r="BQ99" i="57" s="1"/>
  <c r="BQ100" i="57" s="1"/>
  <c r="BQ101" i="57" s="1"/>
  <c r="BQ102" i="57" s="1"/>
  <c r="BQ103" i="57" s="1"/>
  <c r="BQ104" i="57" s="1"/>
  <c r="BQ105" i="57" s="1"/>
  <c r="BQ106" i="57" s="1"/>
  <c r="BQ107" i="57" s="1"/>
  <c r="BQ108" i="57" s="1"/>
  <c r="S78" i="57"/>
  <c r="B78" i="57" s="1"/>
  <c r="S77" i="57"/>
  <c r="B77" i="57" s="1"/>
  <c r="S75" i="57"/>
  <c r="B75" i="57" s="1"/>
  <c r="S74" i="57"/>
  <c r="B74" i="57" s="1"/>
  <c r="S72" i="57"/>
  <c r="B72" i="57" s="1"/>
  <c r="S71" i="57"/>
  <c r="B71" i="57" s="1"/>
  <c r="S69" i="57"/>
  <c r="B69" i="57" s="1"/>
  <c r="S68" i="57"/>
  <c r="B68" i="57" s="1"/>
  <c r="S63" i="57"/>
  <c r="BQ67" i="57" s="1"/>
  <c r="BQ68" i="57" s="1"/>
  <c r="BQ69" i="57" s="1"/>
  <c r="BQ70" i="57" s="1"/>
  <c r="BQ71" i="57" s="1"/>
  <c r="BQ72" i="57" s="1"/>
  <c r="BQ73" i="57" s="1"/>
  <c r="BQ74" i="57" s="1"/>
  <c r="BQ75" i="57" s="1"/>
  <c r="BQ76" i="57" s="1"/>
  <c r="BQ77" i="57" s="1"/>
  <c r="BQ78" i="57" s="1"/>
  <c r="S48" i="57"/>
  <c r="B48" i="57" s="1"/>
  <c r="S47" i="57"/>
  <c r="B47" i="57" s="1"/>
  <c r="S45" i="57"/>
  <c r="B45" i="57" s="1"/>
  <c r="S44" i="57"/>
  <c r="B44" i="57" s="1"/>
  <c r="S43" i="57"/>
  <c r="B43" i="57" s="1"/>
  <c r="S42" i="57"/>
  <c r="B42" i="57" s="1"/>
  <c r="S41" i="57"/>
  <c r="B41" i="57" s="1"/>
  <c r="S39" i="57"/>
  <c r="B39" i="57" s="1"/>
  <c r="S38" i="57"/>
  <c r="B38" i="57" s="1"/>
  <c r="S37" i="57"/>
  <c r="S33" i="57"/>
  <c r="BQ37" i="57" s="1"/>
  <c r="BQ38" i="57" s="1"/>
  <c r="BQ39" i="57" s="1"/>
  <c r="BQ40" i="57" s="1"/>
  <c r="BQ41" i="57"/>
  <c r="BQ42" i="57" s="1"/>
  <c r="BQ43" i="57" s="1"/>
  <c r="BQ44" i="57" s="1"/>
  <c r="BQ45" i="57" s="1"/>
  <c r="BQ46" i="57" s="1"/>
  <c r="BQ47" i="57" s="1"/>
  <c r="BQ48" i="57" s="1"/>
  <c r="S18" i="57"/>
  <c r="B18" i="57" s="1"/>
  <c r="S16" i="57"/>
  <c r="B16" i="57" s="1"/>
  <c r="S15" i="57"/>
  <c r="B15" i="57" s="1"/>
  <c r="S14" i="57"/>
  <c r="B14" i="57" s="1"/>
  <c r="S12" i="57"/>
  <c r="B12" i="57" s="1"/>
  <c r="S11" i="57"/>
  <c r="B11" i="57" s="1"/>
  <c r="S9" i="57"/>
  <c r="B9" i="57" s="1"/>
  <c r="S8" i="57"/>
  <c r="S168" i="55"/>
  <c r="B168" i="55" s="1"/>
  <c r="S167" i="55"/>
  <c r="B167" i="55" s="1"/>
  <c r="S165" i="55"/>
  <c r="B165" i="55" s="1"/>
  <c r="S164" i="55"/>
  <c r="B164" i="55" s="1"/>
  <c r="S162" i="55"/>
  <c r="B162" i="55" s="1"/>
  <c r="S161" i="55"/>
  <c r="B161" i="55" s="1"/>
  <c r="S159" i="55"/>
  <c r="B159" i="55" s="1"/>
  <c r="S158" i="55"/>
  <c r="B158" i="55" s="1"/>
  <c r="S153" i="55"/>
  <c r="BQ157" i="55" s="1"/>
  <c r="BQ158" i="55" s="1"/>
  <c r="BQ159" i="55"/>
  <c r="BQ160" i="55" s="1"/>
  <c r="BQ161" i="55" s="1"/>
  <c r="BQ162" i="55" s="1"/>
  <c r="BQ163" i="55" s="1"/>
  <c r="BQ164" i="55" s="1"/>
  <c r="BQ165" i="55" s="1"/>
  <c r="BQ166" i="55" s="1"/>
  <c r="BQ167" i="55"/>
  <c r="BQ168" i="55" s="1"/>
  <c r="S138" i="55"/>
  <c r="B138" i="55" s="1"/>
  <c r="S137" i="55"/>
  <c r="B137" i="55" s="1"/>
  <c r="S135" i="55"/>
  <c r="B135" i="55" s="1"/>
  <c r="S134" i="55"/>
  <c r="B134" i="55" s="1"/>
  <c r="S132" i="55"/>
  <c r="B132" i="55" s="1"/>
  <c r="S131" i="55"/>
  <c r="B131" i="55" s="1"/>
  <c r="S129" i="55"/>
  <c r="B129" i="55" s="1"/>
  <c r="S128" i="55"/>
  <c r="B128" i="55" s="1"/>
  <c r="S123" i="55"/>
  <c r="BQ127" i="55" s="1"/>
  <c r="BQ128" i="55" s="1"/>
  <c r="BQ129" i="55" s="1"/>
  <c r="BQ130" i="55" s="1"/>
  <c r="BQ131" i="55" s="1"/>
  <c r="BQ132" i="55" s="1"/>
  <c r="BQ133" i="55" s="1"/>
  <c r="BQ134" i="55" s="1"/>
  <c r="BQ135" i="55" s="1"/>
  <c r="BQ136" i="55" s="1"/>
  <c r="BQ137" i="55" s="1"/>
  <c r="BQ138" i="55" s="1"/>
  <c r="S108" i="55"/>
  <c r="B108" i="55" s="1"/>
  <c r="S107" i="55"/>
  <c r="B107" i="55" s="1"/>
  <c r="S105" i="55"/>
  <c r="B105" i="55" s="1"/>
  <c r="S104" i="55"/>
  <c r="B104" i="55" s="1"/>
  <c r="S102" i="55"/>
  <c r="B102" i="55" s="1"/>
  <c r="S101" i="55"/>
  <c r="B101" i="55" s="1"/>
  <c r="S99" i="55"/>
  <c r="B99" i="55" s="1"/>
  <c r="S98" i="55"/>
  <c r="B98" i="55" s="1"/>
  <c r="S93" i="55"/>
  <c r="BQ97" i="55" s="1"/>
  <c r="BQ98" i="55" s="1"/>
  <c r="BQ99" i="55" s="1"/>
  <c r="BQ100" i="55" s="1"/>
  <c r="BQ101" i="55" s="1"/>
  <c r="BQ102" i="55" s="1"/>
  <c r="BQ103" i="55" s="1"/>
  <c r="BQ104" i="55" s="1"/>
  <c r="BQ105" i="55" s="1"/>
  <c r="BQ106" i="55" s="1"/>
  <c r="BQ107" i="55" s="1"/>
  <c r="BQ108" i="55" s="1"/>
  <c r="S78" i="55"/>
  <c r="B78" i="55" s="1"/>
  <c r="S77" i="55"/>
  <c r="B77" i="55" s="1"/>
  <c r="S75" i="55"/>
  <c r="B75" i="55" s="1"/>
  <c r="S74" i="55"/>
  <c r="B74" i="55" s="1"/>
  <c r="S72" i="55"/>
  <c r="B72" i="55" s="1"/>
  <c r="S69" i="55"/>
  <c r="B69" i="55" s="1"/>
  <c r="S68" i="55"/>
  <c r="B68" i="55" s="1"/>
  <c r="S63" i="55"/>
  <c r="BQ67" i="55" s="1"/>
  <c r="BQ68" i="55" s="1"/>
  <c r="BQ69" i="55" s="1"/>
  <c r="BQ70" i="55" s="1"/>
  <c r="BQ71" i="55" s="1"/>
  <c r="BQ72" i="55" s="1"/>
  <c r="BQ73" i="55" s="1"/>
  <c r="BQ74" i="55"/>
  <c r="BQ75" i="55" s="1"/>
  <c r="BQ76" i="55" s="1"/>
  <c r="BQ77" i="55" s="1"/>
  <c r="BQ78" i="55" s="1"/>
  <c r="S48" i="55"/>
  <c r="B48" i="55" s="1"/>
  <c r="S47" i="55"/>
  <c r="B47" i="55" s="1"/>
  <c r="S45" i="55"/>
  <c r="B45" i="55" s="1"/>
  <c r="S44" i="55"/>
  <c r="B44" i="55" s="1"/>
  <c r="S43" i="55"/>
  <c r="B43" i="55" s="1"/>
  <c r="S42" i="55"/>
  <c r="B42" i="55" s="1"/>
  <c r="S41" i="55"/>
  <c r="B41" i="55" s="1"/>
  <c r="S39" i="55"/>
  <c r="B39" i="55" s="1"/>
  <c r="S37" i="55"/>
  <c r="B37" i="55" s="1"/>
  <c r="S33" i="55"/>
  <c r="BQ37" i="55" s="1"/>
  <c r="BQ38" i="55"/>
  <c r="BQ39" i="55" s="1"/>
  <c r="BQ40" i="55" s="1"/>
  <c r="BQ41" i="55" s="1"/>
  <c r="BQ42" i="55" s="1"/>
  <c r="BQ43" i="55" s="1"/>
  <c r="BQ44" i="55" s="1"/>
  <c r="BQ45" i="55" s="1"/>
  <c r="BQ46" i="55" s="1"/>
  <c r="BQ47" i="55" s="1"/>
  <c r="BQ48" i="55" s="1"/>
  <c r="S18" i="55"/>
  <c r="B18" i="55" s="1"/>
  <c r="S17" i="55"/>
  <c r="B17" i="55" s="1"/>
  <c r="S15" i="55"/>
  <c r="S14" i="55"/>
  <c r="B14" i="55" s="1"/>
  <c r="S12" i="55"/>
  <c r="B12" i="55" s="1"/>
  <c r="S9" i="55"/>
  <c r="B9" i="55" s="1"/>
  <c r="S168" i="53"/>
  <c r="B168" i="53" s="1"/>
  <c r="S165" i="53"/>
  <c r="B165" i="53" s="1"/>
  <c r="S164" i="53"/>
  <c r="B164" i="53" s="1"/>
  <c r="S162" i="53"/>
  <c r="B162" i="53" s="1"/>
  <c r="S161" i="53"/>
  <c r="B161" i="53" s="1"/>
  <c r="S159" i="53"/>
  <c r="B159" i="53" s="1"/>
  <c r="S153" i="53"/>
  <c r="BQ157" i="53" s="1"/>
  <c r="BQ158" i="53" s="1"/>
  <c r="BQ159" i="53" s="1"/>
  <c r="BQ160" i="53" s="1"/>
  <c r="BQ161" i="53" s="1"/>
  <c r="BQ162" i="53" s="1"/>
  <c r="BQ163" i="53" s="1"/>
  <c r="BQ164" i="53" s="1"/>
  <c r="BQ165" i="53" s="1"/>
  <c r="BQ166" i="53" s="1"/>
  <c r="BQ167" i="53" s="1"/>
  <c r="BQ168" i="53" s="1"/>
  <c r="S138" i="53"/>
  <c r="B138" i="53" s="1"/>
  <c r="S137" i="53"/>
  <c r="B137" i="53" s="1"/>
  <c r="S135" i="53"/>
  <c r="B135" i="53" s="1"/>
  <c r="S134" i="53"/>
  <c r="B134" i="53" s="1"/>
  <c r="S132" i="53"/>
  <c r="S131" i="53"/>
  <c r="B131" i="53" s="1"/>
  <c r="S129" i="53"/>
  <c r="B129" i="53" s="1"/>
  <c r="S128" i="53"/>
  <c r="B128" i="53" s="1"/>
  <c r="S123" i="53"/>
  <c r="BQ127" i="53" s="1"/>
  <c r="BQ128" i="53" s="1"/>
  <c r="BQ129" i="53" s="1"/>
  <c r="BQ130" i="53" s="1"/>
  <c r="BQ131" i="53" s="1"/>
  <c r="BQ132" i="53" s="1"/>
  <c r="BQ133" i="53" s="1"/>
  <c r="BQ134" i="53" s="1"/>
  <c r="BQ135" i="53" s="1"/>
  <c r="BQ136" i="53" s="1"/>
  <c r="BQ137" i="53" s="1"/>
  <c r="BQ138" i="53" s="1"/>
  <c r="S108" i="53"/>
  <c r="B108" i="53" s="1"/>
  <c r="S107" i="53"/>
  <c r="B107" i="53" s="1"/>
  <c r="S105" i="53"/>
  <c r="B105" i="53" s="1"/>
  <c r="S102" i="53"/>
  <c r="B102" i="53" s="1"/>
  <c r="S101" i="53"/>
  <c r="B101" i="53" s="1"/>
  <c r="S99" i="53"/>
  <c r="B99" i="53" s="1"/>
  <c r="S93" i="53"/>
  <c r="BQ97" i="53" s="1"/>
  <c r="BQ98" i="53" s="1"/>
  <c r="BQ99" i="53" s="1"/>
  <c r="BQ100" i="53" s="1"/>
  <c r="BQ101" i="53" s="1"/>
  <c r="BQ102" i="53" s="1"/>
  <c r="BQ103" i="53" s="1"/>
  <c r="BQ104" i="53" s="1"/>
  <c r="BQ105" i="53" s="1"/>
  <c r="BQ106" i="53" s="1"/>
  <c r="BQ107" i="53" s="1"/>
  <c r="BQ108" i="53" s="1"/>
  <c r="S78" i="53"/>
  <c r="B78" i="53" s="1"/>
  <c r="S75" i="53"/>
  <c r="B75" i="53" s="1"/>
  <c r="S74" i="53"/>
  <c r="B74" i="53" s="1"/>
  <c r="S72" i="53"/>
  <c r="B72" i="53" s="1"/>
  <c r="S71" i="53"/>
  <c r="B71" i="53" s="1"/>
  <c r="S69" i="53"/>
  <c r="B69" i="53" s="1"/>
  <c r="S68" i="53"/>
  <c r="B68" i="53" s="1"/>
  <c r="S63" i="53"/>
  <c r="BQ67" i="53" s="1"/>
  <c r="BQ68" i="53" s="1"/>
  <c r="BQ69" i="53" s="1"/>
  <c r="BQ70" i="53" s="1"/>
  <c r="BQ71" i="53" s="1"/>
  <c r="BQ72" i="53" s="1"/>
  <c r="BQ73" i="53" s="1"/>
  <c r="BQ74" i="53" s="1"/>
  <c r="BQ75" i="53" s="1"/>
  <c r="BQ76" i="53" s="1"/>
  <c r="BQ77" i="53" s="1"/>
  <c r="BQ78" i="53" s="1"/>
  <c r="S48" i="53"/>
  <c r="B48" i="53" s="1"/>
  <c r="S47" i="53"/>
  <c r="B47" i="53" s="1"/>
  <c r="S45" i="53"/>
  <c r="B45" i="53" s="1"/>
  <c r="S44" i="53"/>
  <c r="B44" i="53" s="1"/>
  <c r="S42" i="53"/>
  <c r="B42" i="53" s="1"/>
  <c r="S41" i="53"/>
  <c r="B41" i="53" s="1"/>
  <c r="S39" i="53"/>
  <c r="B39" i="53" s="1"/>
  <c r="S38" i="53"/>
  <c r="B38" i="53" s="1"/>
  <c r="S33" i="53"/>
  <c r="BQ37" i="53" s="1"/>
  <c r="BQ38" i="53" s="1"/>
  <c r="BQ39" i="53" s="1"/>
  <c r="BQ40" i="53" s="1"/>
  <c r="BQ41" i="53" s="1"/>
  <c r="BQ42" i="53" s="1"/>
  <c r="BQ43" i="53" s="1"/>
  <c r="BQ44" i="53" s="1"/>
  <c r="BQ45" i="53" s="1"/>
  <c r="BQ46" i="53" s="1"/>
  <c r="BQ47" i="53" s="1"/>
  <c r="BQ48" i="53" s="1"/>
  <c r="S18" i="53"/>
  <c r="B18" i="53" s="1"/>
  <c r="S17" i="53"/>
  <c r="B17" i="53" s="1"/>
  <c r="S15" i="53"/>
  <c r="B15" i="53" s="1"/>
  <c r="S14" i="53"/>
  <c r="B14" i="53" s="1"/>
  <c r="S12" i="53"/>
  <c r="B12" i="53" s="1"/>
  <c r="S9" i="53"/>
  <c r="B9" i="53" s="1"/>
  <c r="S8" i="53"/>
  <c r="S168" i="52"/>
  <c r="B168" i="52" s="1"/>
  <c r="S167" i="52"/>
  <c r="B167" i="52" s="1"/>
  <c r="S165" i="52"/>
  <c r="B165" i="52" s="1"/>
  <c r="S164" i="52"/>
  <c r="B164" i="52" s="1"/>
  <c r="S162" i="52"/>
  <c r="B162" i="52" s="1"/>
  <c r="S159" i="52"/>
  <c r="B159" i="52" s="1"/>
  <c r="S158" i="52"/>
  <c r="B158" i="52" s="1"/>
  <c r="S138" i="52"/>
  <c r="B138" i="52" s="1"/>
  <c r="S137" i="52"/>
  <c r="B137" i="52" s="1"/>
  <c r="S135" i="52"/>
  <c r="B135" i="52" s="1"/>
  <c r="S134" i="52"/>
  <c r="B134" i="52" s="1"/>
  <c r="S132" i="52"/>
  <c r="B132" i="52" s="1"/>
  <c r="S131" i="52"/>
  <c r="B131" i="52" s="1"/>
  <c r="S129" i="52"/>
  <c r="B129" i="52" s="1"/>
  <c r="S108" i="52"/>
  <c r="B108" i="52" s="1"/>
  <c r="S105" i="52"/>
  <c r="B105" i="52" s="1"/>
  <c r="S102" i="52"/>
  <c r="B102" i="52" s="1"/>
  <c r="S101" i="52"/>
  <c r="B101" i="52" s="1"/>
  <c r="S99" i="52"/>
  <c r="B99" i="52" s="1"/>
  <c r="S78" i="52"/>
  <c r="B78" i="52" s="1"/>
  <c r="S77" i="52"/>
  <c r="B77" i="52" s="1"/>
  <c r="S75" i="52"/>
  <c r="B75" i="52" s="1"/>
  <c r="S74" i="52"/>
  <c r="B74" i="52" s="1"/>
  <c r="S72" i="52"/>
  <c r="B72" i="52" s="1"/>
  <c r="S69" i="52"/>
  <c r="B69" i="52" s="1"/>
  <c r="S48" i="52"/>
  <c r="B48" i="52" s="1"/>
  <c r="S47" i="52"/>
  <c r="B47" i="52" s="1"/>
  <c r="S45" i="52"/>
  <c r="B45" i="52" s="1"/>
  <c r="S42" i="52"/>
  <c r="B42" i="52" s="1"/>
  <c r="S41" i="52"/>
  <c r="B41" i="52" s="1"/>
  <c r="S39" i="52"/>
  <c r="B39" i="52" s="1"/>
  <c r="S18" i="52"/>
  <c r="B18" i="52" s="1"/>
  <c r="S17" i="52"/>
  <c r="B17" i="52" s="1"/>
  <c r="S15" i="52"/>
  <c r="B15" i="52" s="1"/>
  <c r="S14" i="52"/>
  <c r="B14" i="52" s="1"/>
  <c r="S12" i="52"/>
  <c r="B12" i="52" s="1"/>
  <c r="S9" i="52"/>
  <c r="B9" i="52" s="1"/>
  <c r="S8" i="52"/>
  <c r="B8" i="52" s="1"/>
  <c r="S67" i="53"/>
  <c r="B67" i="53" s="1"/>
  <c r="S11" i="52"/>
  <c r="B11" i="52" s="1"/>
  <c r="V1" i="53"/>
  <c r="E1" i="53" s="1"/>
  <c r="S3" i="53"/>
  <c r="BQ7" i="53"/>
  <c r="U22" i="53"/>
  <c r="W22" i="53"/>
  <c r="Y22" i="53"/>
  <c r="AA22" i="53"/>
  <c r="J22" i="53" s="1"/>
  <c r="AC22" i="53"/>
  <c r="AC23" i="53" s="1"/>
  <c r="L23" i="53" s="1"/>
  <c r="N101" i="59"/>
  <c r="N47" i="59"/>
  <c r="L174" i="59"/>
  <c r="H174" i="59"/>
  <c r="D174" i="59"/>
  <c r="J174" i="59"/>
  <c r="F174" i="59"/>
  <c r="N170" i="59"/>
  <c r="L144" i="59"/>
  <c r="H144" i="59"/>
  <c r="D144" i="59"/>
  <c r="J144" i="59"/>
  <c r="F144" i="59"/>
  <c r="N140" i="59"/>
  <c r="L114" i="59"/>
  <c r="H114" i="59"/>
  <c r="D114" i="59"/>
  <c r="J114" i="59"/>
  <c r="F114" i="59"/>
  <c r="N110" i="59"/>
  <c r="AC22" i="59"/>
  <c r="AC23" i="59" s="1"/>
  <c r="L23" i="59" s="1"/>
  <c r="AA22" i="59"/>
  <c r="Y22" i="59"/>
  <c r="W22" i="59"/>
  <c r="U22" i="59"/>
  <c r="D22" i="59" s="1"/>
  <c r="M179" i="59"/>
  <c r="K179" i="59"/>
  <c r="I179" i="59"/>
  <c r="G179" i="59"/>
  <c r="E179" i="59"/>
  <c r="C179" i="59"/>
  <c r="B179" i="59"/>
  <c r="M178" i="59"/>
  <c r="K178" i="59"/>
  <c r="I178" i="59"/>
  <c r="G178" i="59"/>
  <c r="E178" i="59"/>
  <c r="C178" i="59"/>
  <c r="B178" i="59"/>
  <c r="M177" i="59"/>
  <c r="K177" i="59"/>
  <c r="I177" i="59"/>
  <c r="G177" i="59"/>
  <c r="E177" i="59"/>
  <c r="C177" i="59"/>
  <c r="B177" i="59"/>
  <c r="M176" i="59"/>
  <c r="K176" i="59"/>
  <c r="I176" i="59"/>
  <c r="G176" i="59"/>
  <c r="E176" i="59"/>
  <c r="C176" i="59"/>
  <c r="B176" i="59"/>
  <c r="M175" i="59"/>
  <c r="K175" i="59"/>
  <c r="I175" i="59"/>
  <c r="G175" i="59"/>
  <c r="E175" i="59"/>
  <c r="C175" i="59"/>
  <c r="B175" i="59"/>
  <c r="M174" i="59"/>
  <c r="K174" i="59"/>
  <c r="I174" i="59"/>
  <c r="G174" i="59"/>
  <c r="E174" i="59"/>
  <c r="C174" i="59"/>
  <c r="B174" i="59"/>
  <c r="M173" i="59"/>
  <c r="K173" i="59"/>
  <c r="I173" i="59"/>
  <c r="G173" i="59"/>
  <c r="E173" i="59"/>
  <c r="C173" i="59"/>
  <c r="B173" i="59"/>
  <c r="M172" i="59"/>
  <c r="K172" i="59"/>
  <c r="I172" i="59"/>
  <c r="G172" i="59"/>
  <c r="E172" i="59"/>
  <c r="C172" i="59"/>
  <c r="B172" i="59"/>
  <c r="L170" i="59"/>
  <c r="J170" i="59"/>
  <c r="H170" i="59"/>
  <c r="F170" i="59"/>
  <c r="D170" i="59"/>
  <c r="C170" i="59"/>
  <c r="B170" i="59"/>
  <c r="C169" i="59"/>
  <c r="B169" i="59"/>
  <c r="L168" i="59"/>
  <c r="J168" i="59"/>
  <c r="H168" i="59"/>
  <c r="F168" i="59"/>
  <c r="D168" i="59"/>
  <c r="C168" i="59"/>
  <c r="L167" i="59"/>
  <c r="J167" i="59"/>
  <c r="H167" i="59"/>
  <c r="F167" i="59"/>
  <c r="D167" i="59"/>
  <c r="C167" i="59"/>
  <c r="F166" i="59"/>
  <c r="D166" i="59"/>
  <c r="C166" i="59"/>
  <c r="L165" i="59"/>
  <c r="J165" i="59"/>
  <c r="H165" i="59"/>
  <c r="F165" i="59"/>
  <c r="D165" i="59"/>
  <c r="C165" i="59"/>
  <c r="L164" i="59"/>
  <c r="J164" i="59"/>
  <c r="H164" i="59"/>
  <c r="F164" i="59"/>
  <c r="D164" i="59"/>
  <c r="C164" i="59"/>
  <c r="H163" i="59"/>
  <c r="F163" i="59"/>
  <c r="D163" i="59"/>
  <c r="C163" i="59"/>
  <c r="L162" i="59"/>
  <c r="J162" i="59"/>
  <c r="H162" i="59"/>
  <c r="F162" i="59"/>
  <c r="D162" i="59"/>
  <c r="C162" i="59"/>
  <c r="L161" i="59"/>
  <c r="J161" i="59"/>
  <c r="H161" i="59"/>
  <c r="F161" i="59"/>
  <c r="D161" i="59"/>
  <c r="C161" i="59"/>
  <c r="F160" i="59"/>
  <c r="D160" i="59"/>
  <c r="C160" i="59"/>
  <c r="L159" i="59"/>
  <c r="J159" i="59"/>
  <c r="H159" i="59"/>
  <c r="F159" i="59"/>
  <c r="D159" i="59"/>
  <c r="C159" i="59"/>
  <c r="N158" i="59"/>
  <c r="L158" i="59"/>
  <c r="J158" i="59"/>
  <c r="H158" i="59"/>
  <c r="F158" i="59"/>
  <c r="D158" i="59"/>
  <c r="C158" i="59"/>
  <c r="H157" i="59"/>
  <c r="F157" i="59"/>
  <c r="D157" i="59"/>
  <c r="C157" i="59"/>
  <c r="B152" i="59"/>
  <c r="B153" i="59" s="1"/>
  <c r="B151" i="59"/>
  <c r="M149" i="59"/>
  <c r="K149" i="59"/>
  <c r="I149" i="59"/>
  <c r="G149" i="59"/>
  <c r="E149" i="59"/>
  <c r="C149" i="59"/>
  <c r="B149" i="59"/>
  <c r="M148" i="59"/>
  <c r="K148" i="59"/>
  <c r="I148" i="59"/>
  <c r="G148" i="59"/>
  <c r="E148" i="59"/>
  <c r="C148" i="59"/>
  <c r="B148" i="59"/>
  <c r="M147" i="59"/>
  <c r="K147" i="59"/>
  <c r="I147" i="59"/>
  <c r="G147" i="59"/>
  <c r="E147" i="59"/>
  <c r="C147" i="59"/>
  <c r="B147" i="59"/>
  <c r="M146" i="59"/>
  <c r="K146" i="59"/>
  <c r="I146" i="59"/>
  <c r="G146" i="59"/>
  <c r="E146" i="59"/>
  <c r="C146" i="59"/>
  <c r="B146" i="59"/>
  <c r="M145" i="59"/>
  <c r="K145" i="59"/>
  <c r="I145" i="59"/>
  <c r="G145" i="59"/>
  <c r="E145" i="59"/>
  <c r="C145" i="59"/>
  <c r="B145" i="59"/>
  <c r="M144" i="59"/>
  <c r="K144" i="59"/>
  <c r="I144" i="59"/>
  <c r="G144" i="59"/>
  <c r="E144" i="59"/>
  <c r="C144" i="59"/>
  <c r="B144" i="59"/>
  <c r="M143" i="59"/>
  <c r="K143" i="59"/>
  <c r="I143" i="59"/>
  <c r="G143" i="59"/>
  <c r="E143" i="59"/>
  <c r="C143" i="59"/>
  <c r="B143" i="59"/>
  <c r="M142" i="59"/>
  <c r="K142" i="59"/>
  <c r="I142" i="59"/>
  <c r="G142" i="59"/>
  <c r="E142" i="59"/>
  <c r="C142" i="59"/>
  <c r="B142" i="59"/>
  <c r="L140" i="59"/>
  <c r="J140" i="59"/>
  <c r="H140" i="59"/>
  <c r="F140" i="59"/>
  <c r="D140" i="59"/>
  <c r="C140" i="59"/>
  <c r="B140" i="59"/>
  <c r="C139" i="59"/>
  <c r="B139" i="59"/>
  <c r="L138" i="59"/>
  <c r="J138" i="59"/>
  <c r="H138" i="59"/>
  <c r="F138" i="59"/>
  <c r="D138" i="59"/>
  <c r="C138" i="59"/>
  <c r="L137" i="59"/>
  <c r="J137" i="59"/>
  <c r="H137" i="59"/>
  <c r="F137" i="59"/>
  <c r="D137" i="59"/>
  <c r="C137" i="59"/>
  <c r="F136" i="59"/>
  <c r="D136" i="59"/>
  <c r="C136" i="59"/>
  <c r="L135" i="59"/>
  <c r="J135" i="59"/>
  <c r="H135" i="59"/>
  <c r="F135" i="59"/>
  <c r="D135" i="59"/>
  <c r="C135" i="59"/>
  <c r="L134" i="59"/>
  <c r="J134" i="59"/>
  <c r="H134" i="59"/>
  <c r="F134" i="59"/>
  <c r="D134" i="59"/>
  <c r="C134" i="59"/>
  <c r="H133" i="59"/>
  <c r="F133" i="59"/>
  <c r="D133" i="59"/>
  <c r="C133" i="59"/>
  <c r="L132" i="59"/>
  <c r="J132" i="59"/>
  <c r="H132" i="59"/>
  <c r="F132" i="59"/>
  <c r="D132" i="59"/>
  <c r="C132" i="59"/>
  <c r="L131" i="59"/>
  <c r="J131" i="59"/>
  <c r="H131" i="59"/>
  <c r="F131" i="59"/>
  <c r="D131" i="59"/>
  <c r="C131" i="59"/>
  <c r="F130" i="59"/>
  <c r="D130" i="59"/>
  <c r="C130" i="59"/>
  <c r="L129" i="59"/>
  <c r="J129" i="59"/>
  <c r="H129" i="59"/>
  <c r="F129" i="59"/>
  <c r="D129" i="59"/>
  <c r="C129" i="59"/>
  <c r="L128" i="59"/>
  <c r="J128" i="59"/>
  <c r="H128" i="59"/>
  <c r="F128" i="59"/>
  <c r="D128" i="59"/>
  <c r="C128" i="59"/>
  <c r="H127" i="59"/>
  <c r="F127" i="59"/>
  <c r="D127" i="59"/>
  <c r="C127" i="59"/>
  <c r="B122" i="59"/>
  <c r="B123" i="59" s="1"/>
  <c r="B121" i="59"/>
  <c r="M119" i="59"/>
  <c r="K119" i="59"/>
  <c r="I119" i="59"/>
  <c r="G119" i="59"/>
  <c r="E119" i="59"/>
  <c r="C119" i="59"/>
  <c r="B119" i="59"/>
  <c r="M118" i="59"/>
  <c r="K118" i="59"/>
  <c r="I118" i="59"/>
  <c r="G118" i="59"/>
  <c r="E118" i="59"/>
  <c r="C118" i="59"/>
  <c r="B118" i="59"/>
  <c r="M117" i="59"/>
  <c r="K117" i="59"/>
  <c r="I117" i="59"/>
  <c r="G117" i="59"/>
  <c r="E117" i="59"/>
  <c r="C117" i="59"/>
  <c r="B117" i="59"/>
  <c r="M116" i="59"/>
  <c r="K116" i="59"/>
  <c r="I116" i="59"/>
  <c r="G116" i="59"/>
  <c r="E116" i="59"/>
  <c r="C116" i="59"/>
  <c r="B116" i="59"/>
  <c r="M115" i="59"/>
  <c r="K115" i="59"/>
  <c r="I115" i="59"/>
  <c r="G115" i="59"/>
  <c r="E115" i="59"/>
  <c r="C115" i="59"/>
  <c r="B115" i="59"/>
  <c r="M114" i="59"/>
  <c r="K114" i="59"/>
  <c r="I114" i="59"/>
  <c r="G114" i="59"/>
  <c r="E114" i="59"/>
  <c r="C114" i="59"/>
  <c r="B114" i="59"/>
  <c r="M113" i="59"/>
  <c r="K113" i="59"/>
  <c r="I113" i="59"/>
  <c r="G113" i="59"/>
  <c r="E113" i="59"/>
  <c r="C113" i="59"/>
  <c r="B113" i="59"/>
  <c r="M112" i="59"/>
  <c r="K112" i="59"/>
  <c r="I112" i="59"/>
  <c r="G112" i="59"/>
  <c r="E112" i="59"/>
  <c r="C112" i="59"/>
  <c r="B112" i="59"/>
  <c r="L110" i="59"/>
  <c r="J110" i="59"/>
  <c r="H110" i="59"/>
  <c r="F110" i="59"/>
  <c r="D110" i="59"/>
  <c r="C110" i="59"/>
  <c r="B110" i="59"/>
  <c r="C109" i="59"/>
  <c r="B109" i="59"/>
  <c r="L108" i="59"/>
  <c r="J108" i="59"/>
  <c r="H108" i="59"/>
  <c r="F108" i="59"/>
  <c r="D108" i="59"/>
  <c r="C108" i="59"/>
  <c r="L107" i="59"/>
  <c r="J107" i="59"/>
  <c r="H107" i="59"/>
  <c r="F107" i="59"/>
  <c r="D107" i="59"/>
  <c r="C107" i="59"/>
  <c r="F106" i="59"/>
  <c r="D106" i="59"/>
  <c r="C106" i="59"/>
  <c r="L105" i="59"/>
  <c r="J105" i="59"/>
  <c r="H105" i="59"/>
  <c r="F105" i="59"/>
  <c r="D105" i="59"/>
  <c r="C105" i="59"/>
  <c r="L104" i="59"/>
  <c r="J104" i="59"/>
  <c r="H104" i="59"/>
  <c r="F104" i="59"/>
  <c r="D104" i="59"/>
  <c r="C104" i="59"/>
  <c r="H103" i="59"/>
  <c r="F103" i="59"/>
  <c r="D103" i="59"/>
  <c r="C103" i="59"/>
  <c r="L102" i="59"/>
  <c r="J102" i="59"/>
  <c r="H102" i="59"/>
  <c r="F102" i="59"/>
  <c r="D102" i="59"/>
  <c r="C102" i="59"/>
  <c r="L101" i="59"/>
  <c r="J101" i="59"/>
  <c r="H101" i="59"/>
  <c r="F101" i="59"/>
  <c r="D101" i="59"/>
  <c r="C101" i="59"/>
  <c r="F100" i="59"/>
  <c r="D100" i="59"/>
  <c r="C100" i="59"/>
  <c r="L99" i="59"/>
  <c r="J99" i="59"/>
  <c r="H99" i="59"/>
  <c r="F99" i="59"/>
  <c r="D99" i="59"/>
  <c r="C99" i="59"/>
  <c r="L98" i="59"/>
  <c r="J98" i="59"/>
  <c r="H98" i="59"/>
  <c r="F98" i="59"/>
  <c r="D98" i="59"/>
  <c r="C98" i="59"/>
  <c r="H97" i="59"/>
  <c r="F97" i="59"/>
  <c r="D97" i="59"/>
  <c r="C97" i="59"/>
  <c r="B92" i="59"/>
  <c r="B93" i="59" s="1"/>
  <c r="B91" i="59"/>
  <c r="M89" i="59"/>
  <c r="K89" i="59"/>
  <c r="I89" i="59"/>
  <c r="G89" i="59"/>
  <c r="E89" i="59"/>
  <c r="C89" i="59"/>
  <c r="B89" i="59"/>
  <c r="M88" i="59"/>
  <c r="K88" i="59"/>
  <c r="I88" i="59"/>
  <c r="G88" i="59"/>
  <c r="E88" i="59"/>
  <c r="C88" i="59"/>
  <c r="B88" i="59"/>
  <c r="M87" i="59"/>
  <c r="K87" i="59"/>
  <c r="I87" i="59"/>
  <c r="G87" i="59"/>
  <c r="E87" i="59"/>
  <c r="C87" i="59"/>
  <c r="B87" i="59"/>
  <c r="M86" i="59"/>
  <c r="K86" i="59"/>
  <c r="I86" i="59"/>
  <c r="G86" i="59"/>
  <c r="E86" i="59"/>
  <c r="C86" i="59"/>
  <c r="B86" i="59"/>
  <c r="M85" i="59"/>
  <c r="K85" i="59"/>
  <c r="I85" i="59"/>
  <c r="G85" i="59"/>
  <c r="E85" i="59"/>
  <c r="C85" i="59"/>
  <c r="B85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M83" i="59"/>
  <c r="K83" i="59"/>
  <c r="I83" i="59"/>
  <c r="G83" i="59"/>
  <c r="E83" i="59"/>
  <c r="C83" i="59"/>
  <c r="B83" i="59"/>
  <c r="M82" i="59"/>
  <c r="K82" i="59"/>
  <c r="I82" i="59"/>
  <c r="G82" i="59"/>
  <c r="E82" i="59"/>
  <c r="C82" i="59"/>
  <c r="B82" i="59"/>
  <c r="N80" i="59"/>
  <c r="L80" i="59"/>
  <c r="J80" i="59"/>
  <c r="H80" i="59"/>
  <c r="F80" i="59"/>
  <c r="D80" i="59"/>
  <c r="C80" i="59"/>
  <c r="B80" i="59"/>
  <c r="C79" i="59"/>
  <c r="B79" i="59"/>
  <c r="L78" i="59"/>
  <c r="J78" i="59"/>
  <c r="H78" i="59"/>
  <c r="F78" i="59"/>
  <c r="D78" i="59"/>
  <c r="C78" i="59"/>
  <c r="L77" i="59"/>
  <c r="J77" i="59"/>
  <c r="H77" i="59"/>
  <c r="F77" i="59"/>
  <c r="D77" i="59"/>
  <c r="C77" i="59"/>
  <c r="F76" i="59"/>
  <c r="D76" i="59"/>
  <c r="C76" i="59"/>
  <c r="L75" i="59"/>
  <c r="J75" i="59"/>
  <c r="H75" i="59"/>
  <c r="F75" i="59"/>
  <c r="D75" i="59"/>
  <c r="C75" i="59"/>
  <c r="N74" i="59"/>
  <c r="L74" i="59"/>
  <c r="J74" i="59"/>
  <c r="H74" i="59"/>
  <c r="F74" i="59"/>
  <c r="D74" i="59"/>
  <c r="C74" i="59"/>
  <c r="H73" i="59"/>
  <c r="F73" i="59"/>
  <c r="D73" i="59"/>
  <c r="C73" i="59"/>
  <c r="L72" i="59"/>
  <c r="J72" i="59"/>
  <c r="H72" i="59"/>
  <c r="F72" i="59"/>
  <c r="D72" i="59"/>
  <c r="C72" i="59"/>
  <c r="L71" i="59"/>
  <c r="J71" i="59"/>
  <c r="H71" i="59"/>
  <c r="F71" i="59"/>
  <c r="D71" i="59"/>
  <c r="C71" i="59"/>
  <c r="F70" i="59"/>
  <c r="D70" i="59"/>
  <c r="C70" i="59"/>
  <c r="L69" i="59"/>
  <c r="J69" i="59"/>
  <c r="H69" i="59"/>
  <c r="F69" i="59"/>
  <c r="D69" i="59"/>
  <c r="C69" i="59"/>
  <c r="L68" i="59"/>
  <c r="J68" i="59"/>
  <c r="H68" i="59"/>
  <c r="F68" i="59"/>
  <c r="D68" i="59"/>
  <c r="C68" i="59"/>
  <c r="H67" i="59"/>
  <c r="F67" i="59"/>
  <c r="D67" i="59"/>
  <c r="C67" i="59"/>
  <c r="B62" i="59"/>
  <c r="B63" i="59" s="1"/>
  <c r="B61" i="59"/>
  <c r="M59" i="59"/>
  <c r="K59" i="59"/>
  <c r="I59" i="59"/>
  <c r="G59" i="59"/>
  <c r="E59" i="59"/>
  <c r="C59" i="59"/>
  <c r="B59" i="59"/>
  <c r="M58" i="59"/>
  <c r="K58" i="59"/>
  <c r="I58" i="59"/>
  <c r="G58" i="59"/>
  <c r="E58" i="59"/>
  <c r="C58" i="59"/>
  <c r="B58" i="59"/>
  <c r="M57" i="59"/>
  <c r="K57" i="59"/>
  <c r="I57" i="59"/>
  <c r="G57" i="59"/>
  <c r="E57" i="59"/>
  <c r="C57" i="59"/>
  <c r="B57" i="59"/>
  <c r="M56" i="59"/>
  <c r="K56" i="59"/>
  <c r="I56" i="59"/>
  <c r="G56" i="59"/>
  <c r="E56" i="59"/>
  <c r="C56" i="59"/>
  <c r="B56" i="59"/>
  <c r="M55" i="59"/>
  <c r="K55" i="59"/>
  <c r="I55" i="59"/>
  <c r="G55" i="59"/>
  <c r="E55" i="59"/>
  <c r="C55" i="59"/>
  <c r="B55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M53" i="59"/>
  <c r="K53" i="59"/>
  <c r="I53" i="59"/>
  <c r="G53" i="59"/>
  <c r="E53" i="59"/>
  <c r="C53" i="59"/>
  <c r="B53" i="59"/>
  <c r="M52" i="59"/>
  <c r="K52" i="59"/>
  <c r="I52" i="59"/>
  <c r="G52" i="59"/>
  <c r="E52" i="59"/>
  <c r="C52" i="59"/>
  <c r="B52" i="59"/>
  <c r="N50" i="59"/>
  <c r="L50" i="59"/>
  <c r="J50" i="59"/>
  <c r="H50" i="59"/>
  <c r="F50" i="59"/>
  <c r="D50" i="59"/>
  <c r="C50" i="59"/>
  <c r="B50" i="59"/>
  <c r="C49" i="59"/>
  <c r="B49" i="59"/>
  <c r="N48" i="59"/>
  <c r="L48" i="59"/>
  <c r="J48" i="59"/>
  <c r="H48" i="59"/>
  <c r="F48" i="59"/>
  <c r="D48" i="59"/>
  <c r="C48" i="59"/>
  <c r="L47" i="59"/>
  <c r="J47" i="59"/>
  <c r="H47" i="59"/>
  <c r="F47" i="59"/>
  <c r="D47" i="59"/>
  <c r="C47" i="59"/>
  <c r="F46" i="59"/>
  <c r="D46" i="59"/>
  <c r="C46" i="59"/>
  <c r="L45" i="59"/>
  <c r="J45" i="59"/>
  <c r="H45" i="59"/>
  <c r="F45" i="59"/>
  <c r="D45" i="59"/>
  <c r="C45" i="59"/>
  <c r="L44" i="59"/>
  <c r="J44" i="59"/>
  <c r="H44" i="59"/>
  <c r="F44" i="59"/>
  <c r="D44" i="59"/>
  <c r="C44" i="59"/>
  <c r="H43" i="59"/>
  <c r="F43" i="59"/>
  <c r="D43" i="59"/>
  <c r="C43" i="59"/>
  <c r="L42" i="59"/>
  <c r="J42" i="59"/>
  <c r="H42" i="59"/>
  <c r="F42" i="59"/>
  <c r="D42" i="59"/>
  <c r="C42" i="59"/>
  <c r="L41" i="59"/>
  <c r="J41" i="59"/>
  <c r="H41" i="59"/>
  <c r="F41" i="59"/>
  <c r="D41" i="59"/>
  <c r="C41" i="59"/>
  <c r="F40" i="59"/>
  <c r="D40" i="59"/>
  <c r="C40" i="59"/>
  <c r="L39" i="59"/>
  <c r="J39" i="59"/>
  <c r="H39" i="59"/>
  <c r="F39" i="59"/>
  <c r="D39" i="59"/>
  <c r="C39" i="59"/>
  <c r="L38" i="59"/>
  <c r="J38" i="59"/>
  <c r="H38" i="59"/>
  <c r="F38" i="59"/>
  <c r="D38" i="59"/>
  <c r="C38" i="59"/>
  <c r="H37" i="59"/>
  <c r="F37" i="59"/>
  <c r="D37" i="59"/>
  <c r="C37" i="59"/>
  <c r="B32" i="59"/>
  <c r="B33" i="59"/>
  <c r="B31" i="59"/>
  <c r="M29" i="59"/>
  <c r="K29" i="59"/>
  <c r="I29" i="59"/>
  <c r="G29" i="59"/>
  <c r="E29" i="59"/>
  <c r="C29" i="59"/>
  <c r="B29" i="59"/>
  <c r="M28" i="59"/>
  <c r="K28" i="59"/>
  <c r="I28" i="59"/>
  <c r="G28" i="59"/>
  <c r="E28" i="59"/>
  <c r="C28" i="59"/>
  <c r="B28" i="59"/>
  <c r="M27" i="59"/>
  <c r="K27" i="59"/>
  <c r="I27" i="59"/>
  <c r="G27" i="59"/>
  <c r="E27" i="59"/>
  <c r="C27" i="59"/>
  <c r="B27" i="59"/>
  <c r="M26" i="59"/>
  <c r="K26" i="59"/>
  <c r="I26" i="59"/>
  <c r="G26" i="59"/>
  <c r="E26" i="59"/>
  <c r="C26" i="59"/>
  <c r="B26" i="59"/>
  <c r="M25" i="59"/>
  <c r="K25" i="59"/>
  <c r="I25" i="59"/>
  <c r="G25" i="59"/>
  <c r="E25" i="59"/>
  <c r="C25" i="59"/>
  <c r="B25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M23" i="59"/>
  <c r="K23" i="59"/>
  <c r="I23" i="59"/>
  <c r="G23" i="59"/>
  <c r="E23" i="59"/>
  <c r="C23" i="59"/>
  <c r="B23" i="59"/>
  <c r="M22" i="59"/>
  <c r="K22" i="59"/>
  <c r="I22" i="59"/>
  <c r="G22" i="59"/>
  <c r="E22" i="59"/>
  <c r="C22" i="59"/>
  <c r="B22" i="59"/>
  <c r="N20" i="59"/>
  <c r="L20" i="59"/>
  <c r="J20" i="59"/>
  <c r="H20" i="59"/>
  <c r="F20" i="59"/>
  <c r="D20" i="59"/>
  <c r="C20" i="59"/>
  <c r="B20" i="59"/>
  <c r="C19" i="59"/>
  <c r="B19" i="59"/>
  <c r="L18" i="59"/>
  <c r="J18" i="59"/>
  <c r="H18" i="59"/>
  <c r="F18" i="59"/>
  <c r="D18" i="59"/>
  <c r="C18" i="59"/>
  <c r="L17" i="59"/>
  <c r="J17" i="59"/>
  <c r="H17" i="59"/>
  <c r="F17" i="59"/>
  <c r="D17" i="59"/>
  <c r="C17" i="59"/>
  <c r="F16" i="59"/>
  <c r="D16" i="59"/>
  <c r="C16" i="59"/>
  <c r="L15" i="59"/>
  <c r="J15" i="59"/>
  <c r="H15" i="59"/>
  <c r="F15" i="59"/>
  <c r="D15" i="59"/>
  <c r="C15" i="59"/>
  <c r="L14" i="59"/>
  <c r="J14" i="59"/>
  <c r="H14" i="59"/>
  <c r="F14" i="59"/>
  <c r="D14" i="59"/>
  <c r="C14" i="59"/>
  <c r="H13" i="59"/>
  <c r="F13" i="59"/>
  <c r="D13" i="59"/>
  <c r="C13" i="59"/>
  <c r="L12" i="59"/>
  <c r="J12" i="59"/>
  <c r="H12" i="59"/>
  <c r="F12" i="59"/>
  <c r="D12" i="59"/>
  <c r="C12" i="59"/>
  <c r="L11" i="59"/>
  <c r="J11" i="59"/>
  <c r="H11" i="59"/>
  <c r="F11" i="59"/>
  <c r="D11" i="59"/>
  <c r="C11" i="59"/>
  <c r="H10" i="59"/>
  <c r="F10" i="59"/>
  <c r="D10" i="59"/>
  <c r="C10" i="59"/>
  <c r="L9" i="59"/>
  <c r="J9" i="59"/>
  <c r="H9" i="59"/>
  <c r="F9" i="59"/>
  <c r="D9" i="59"/>
  <c r="C9" i="59"/>
  <c r="N8" i="59"/>
  <c r="L8" i="59"/>
  <c r="J8" i="59"/>
  <c r="H8" i="59"/>
  <c r="F8" i="59"/>
  <c r="D8" i="59"/>
  <c r="C8" i="59"/>
  <c r="H7" i="59"/>
  <c r="F7" i="59"/>
  <c r="D7" i="59"/>
  <c r="C7" i="59"/>
  <c r="S3" i="59"/>
  <c r="B2" i="59"/>
  <c r="D1" i="59"/>
  <c r="B1" i="59"/>
  <c r="N107" i="58"/>
  <c r="N105" i="58"/>
  <c r="N68" i="58"/>
  <c r="N42" i="58"/>
  <c r="N38" i="58"/>
  <c r="AC22" i="58"/>
  <c r="AA22" i="58"/>
  <c r="J22" i="58" s="1"/>
  <c r="Y22" i="58"/>
  <c r="W22" i="58"/>
  <c r="U22" i="58"/>
  <c r="M179" i="58"/>
  <c r="K179" i="58"/>
  <c r="I179" i="58"/>
  <c r="G179" i="58"/>
  <c r="E179" i="58"/>
  <c r="C179" i="58"/>
  <c r="B179" i="58"/>
  <c r="M178" i="58"/>
  <c r="K178" i="58"/>
  <c r="I178" i="58"/>
  <c r="G178" i="58"/>
  <c r="E178" i="58"/>
  <c r="C178" i="58"/>
  <c r="B178" i="58"/>
  <c r="M177" i="58"/>
  <c r="K177" i="58"/>
  <c r="I177" i="58"/>
  <c r="G177" i="58"/>
  <c r="E177" i="58"/>
  <c r="C177" i="58"/>
  <c r="B177" i="58"/>
  <c r="M176" i="58"/>
  <c r="K176" i="58"/>
  <c r="I176" i="58"/>
  <c r="G176" i="58"/>
  <c r="E176" i="58"/>
  <c r="C176" i="58"/>
  <c r="B176" i="58"/>
  <c r="M175" i="58"/>
  <c r="K175" i="58"/>
  <c r="I175" i="58"/>
  <c r="G175" i="58"/>
  <c r="E175" i="58"/>
  <c r="C175" i="58"/>
  <c r="B175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M173" i="58"/>
  <c r="K173" i="58"/>
  <c r="I173" i="58"/>
  <c r="G173" i="58"/>
  <c r="E173" i="58"/>
  <c r="C173" i="58"/>
  <c r="B173" i="58"/>
  <c r="M172" i="58"/>
  <c r="K172" i="58"/>
  <c r="I172" i="58"/>
  <c r="G172" i="58"/>
  <c r="E172" i="58"/>
  <c r="C172" i="58"/>
  <c r="B172" i="58"/>
  <c r="N170" i="58"/>
  <c r="L170" i="58"/>
  <c r="J170" i="58"/>
  <c r="H170" i="58"/>
  <c r="F170" i="58"/>
  <c r="D170" i="58"/>
  <c r="C170" i="58"/>
  <c r="B170" i="58"/>
  <c r="C169" i="58"/>
  <c r="B169" i="58"/>
  <c r="L168" i="58"/>
  <c r="J168" i="58"/>
  <c r="H168" i="58"/>
  <c r="F168" i="58"/>
  <c r="D168" i="58"/>
  <c r="C168" i="58"/>
  <c r="L167" i="58"/>
  <c r="J167" i="58"/>
  <c r="H167" i="58"/>
  <c r="F167" i="58"/>
  <c r="D167" i="58"/>
  <c r="C167" i="58"/>
  <c r="F166" i="58"/>
  <c r="D166" i="58"/>
  <c r="C166" i="58"/>
  <c r="L165" i="58"/>
  <c r="J165" i="58"/>
  <c r="H165" i="58"/>
  <c r="F165" i="58"/>
  <c r="D165" i="58"/>
  <c r="C165" i="58"/>
  <c r="L164" i="58"/>
  <c r="J164" i="58"/>
  <c r="H164" i="58"/>
  <c r="F164" i="58"/>
  <c r="D164" i="58"/>
  <c r="C164" i="58"/>
  <c r="H163" i="58"/>
  <c r="F163" i="58"/>
  <c r="D163" i="58"/>
  <c r="C163" i="58"/>
  <c r="L162" i="58"/>
  <c r="J162" i="58"/>
  <c r="H162" i="58"/>
  <c r="F162" i="58"/>
  <c r="D162" i="58"/>
  <c r="C162" i="58"/>
  <c r="L161" i="58"/>
  <c r="J161" i="58"/>
  <c r="H161" i="58"/>
  <c r="F161" i="58"/>
  <c r="D161" i="58"/>
  <c r="C161" i="58"/>
  <c r="F160" i="58"/>
  <c r="D160" i="58"/>
  <c r="C160" i="58"/>
  <c r="L159" i="58"/>
  <c r="J159" i="58"/>
  <c r="H159" i="58"/>
  <c r="F159" i="58"/>
  <c r="D159" i="58"/>
  <c r="C159" i="58"/>
  <c r="L158" i="58"/>
  <c r="J158" i="58"/>
  <c r="H158" i="58"/>
  <c r="F158" i="58"/>
  <c r="D158" i="58"/>
  <c r="C158" i="58"/>
  <c r="H157" i="58"/>
  <c r="F157" i="58"/>
  <c r="D157" i="58"/>
  <c r="C157" i="58"/>
  <c r="B152" i="58"/>
  <c r="B153" i="58" s="1"/>
  <c r="D151" i="58"/>
  <c r="B151" i="58"/>
  <c r="M149" i="58"/>
  <c r="K149" i="58"/>
  <c r="I149" i="58"/>
  <c r="G149" i="58"/>
  <c r="E149" i="58"/>
  <c r="C149" i="58"/>
  <c r="B149" i="58"/>
  <c r="M148" i="58"/>
  <c r="K148" i="58"/>
  <c r="I148" i="58"/>
  <c r="G148" i="58"/>
  <c r="E148" i="58"/>
  <c r="C148" i="58"/>
  <c r="B148" i="58"/>
  <c r="M147" i="58"/>
  <c r="K147" i="58"/>
  <c r="I147" i="58"/>
  <c r="G147" i="58"/>
  <c r="E147" i="58"/>
  <c r="C147" i="58"/>
  <c r="B147" i="58"/>
  <c r="M146" i="58"/>
  <c r="K146" i="58"/>
  <c r="I146" i="58"/>
  <c r="G146" i="58"/>
  <c r="E146" i="58"/>
  <c r="C146" i="58"/>
  <c r="B146" i="58"/>
  <c r="M145" i="58"/>
  <c r="K145" i="58"/>
  <c r="I145" i="58"/>
  <c r="G145" i="58"/>
  <c r="E145" i="58"/>
  <c r="C145" i="58"/>
  <c r="B145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M143" i="58"/>
  <c r="K143" i="58"/>
  <c r="I143" i="58"/>
  <c r="G143" i="58"/>
  <c r="E143" i="58"/>
  <c r="C143" i="58"/>
  <c r="B143" i="58"/>
  <c r="M142" i="58"/>
  <c r="K142" i="58"/>
  <c r="I142" i="58"/>
  <c r="G142" i="58"/>
  <c r="E142" i="58"/>
  <c r="C142" i="58"/>
  <c r="B142" i="58"/>
  <c r="N140" i="58"/>
  <c r="L140" i="58"/>
  <c r="J140" i="58"/>
  <c r="H140" i="58"/>
  <c r="F140" i="58"/>
  <c r="D140" i="58"/>
  <c r="C140" i="58"/>
  <c r="B140" i="58"/>
  <c r="C139" i="58"/>
  <c r="B139" i="58"/>
  <c r="L138" i="58"/>
  <c r="J138" i="58"/>
  <c r="H138" i="58"/>
  <c r="F138" i="58"/>
  <c r="D138" i="58"/>
  <c r="C138" i="58"/>
  <c r="L137" i="58"/>
  <c r="J137" i="58"/>
  <c r="H137" i="58"/>
  <c r="F137" i="58"/>
  <c r="D137" i="58"/>
  <c r="C137" i="58"/>
  <c r="F136" i="58"/>
  <c r="D136" i="58"/>
  <c r="C136" i="58"/>
  <c r="L135" i="58"/>
  <c r="J135" i="58"/>
  <c r="H135" i="58"/>
  <c r="F135" i="58"/>
  <c r="D135" i="58"/>
  <c r="C135" i="58"/>
  <c r="L134" i="58"/>
  <c r="J134" i="58"/>
  <c r="H134" i="58"/>
  <c r="F134" i="58"/>
  <c r="D134" i="58"/>
  <c r="C134" i="58"/>
  <c r="H133" i="58"/>
  <c r="F133" i="58"/>
  <c r="D133" i="58"/>
  <c r="C133" i="58"/>
  <c r="L132" i="58"/>
  <c r="J132" i="58"/>
  <c r="H132" i="58"/>
  <c r="F132" i="58"/>
  <c r="D132" i="58"/>
  <c r="C132" i="58"/>
  <c r="L131" i="58"/>
  <c r="J131" i="58"/>
  <c r="H131" i="58"/>
  <c r="F131" i="58"/>
  <c r="D131" i="58"/>
  <c r="C131" i="58"/>
  <c r="F130" i="58"/>
  <c r="D130" i="58"/>
  <c r="C130" i="58"/>
  <c r="L129" i="58"/>
  <c r="J129" i="58"/>
  <c r="H129" i="58"/>
  <c r="F129" i="58"/>
  <c r="D129" i="58"/>
  <c r="C129" i="58"/>
  <c r="L128" i="58"/>
  <c r="J128" i="58"/>
  <c r="H128" i="58"/>
  <c r="F128" i="58"/>
  <c r="D128" i="58"/>
  <c r="C128" i="58"/>
  <c r="H127" i="58"/>
  <c r="F127" i="58"/>
  <c r="D127" i="58"/>
  <c r="C127" i="58"/>
  <c r="B122" i="58"/>
  <c r="B123" i="58" s="1"/>
  <c r="D121" i="58"/>
  <c r="B121" i="58"/>
  <c r="M119" i="58"/>
  <c r="K119" i="58"/>
  <c r="I119" i="58"/>
  <c r="G119" i="58"/>
  <c r="E119" i="58"/>
  <c r="C119" i="58"/>
  <c r="B119" i="58"/>
  <c r="M118" i="58"/>
  <c r="K118" i="58"/>
  <c r="I118" i="58"/>
  <c r="G118" i="58"/>
  <c r="E118" i="58"/>
  <c r="C118" i="58"/>
  <c r="B118" i="58"/>
  <c r="M117" i="58"/>
  <c r="K117" i="58"/>
  <c r="I117" i="58"/>
  <c r="G117" i="58"/>
  <c r="E117" i="58"/>
  <c r="C117" i="58"/>
  <c r="B117" i="58"/>
  <c r="M116" i="58"/>
  <c r="K116" i="58"/>
  <c r="I116" i="58"/>
  <c r="G116" i="58"/>
  <c r="E116" i="58"/>
  <c r="C116" i="58"/>
  <c r="B116" i="58"/>
  <c r="M115" i="58"/>
  <c r="K115" i="58"/>
  <c r="I115" i="58"/>
  <c r="G115" i="58"/>
  <c r="E115" i="58"/>
  <c r="C115" i="58"/>
  <c r="B115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M113" i="58"/>
  <c r="K113" i="58"/>
  <c r="I113" i="58"/>
  <c r="G113" i="58"/>
  <c r="E113" i="58"/>
  <c r="C113" i="58"/>
  <c r="B113" i="58"/>
  <c r="M112" i="58"/>
  <c r="K112" i="58"/>
  <c r="I112" i="58"/>
  <c r="G112" i="58"/>
  <c r="E112" i="58"/>
  <c r="C112" i="58"/>
  <c r="B112" i="58"/>
  <c r="N110" i="58"/>
  <c r="L110" i="58"/>
  <c r="J110" i="58"/>
  <c r="H110" i="58"/>
  <c r="F110" i="58"/>
  <c r="D110" i="58"/>
  <c r="C110" i="58"/>
  <c r="B110" i="58"/>
  <c r="C109" i="58"/>
  <c r="B109" i="58"/>
  <c r="L108" i="58"/>
  <c r="J108" i="58"/>
  <c r="H108" i="58"/>
  <c r="F108" i="58"/>
  <c r="D108" i="58"/>
  <c r="C108" i="58"/>
  <c r="L107" i="58"/>
  <c r="J107" i="58"/>
  <c r="H107" i="58"/>
  <c r="F107" i="58"/>
  <c r="D107" i="58"/>
  <c r="C107" i="58"/>
  <c r="F106" i="58"/>
  <c r="D106" i="58"/>
  <c r="C106" i="58"/>
  <c r="L105" i="58"/>
  <c r="J105" i="58"/>
  <c r="H105" i="58"/>
  <c r="F105" i="58"/>
  <c r="D105" i="58"/>
  <c r="C105" i="58"/>
  <c r="L104" i="58"/>
  <c r="J104" i="58"/>
  <c r="H104" i="58"/>
  <c r="F104" i="58"/>
  <c r="D104" i="58"/>
  <c r="C104" i="58"/>
  <c r="H103" i="58"/>
  <c r="F103" i="58"/>
  <c r="D103" i="58"/>
  <c r="C103" i="58"/>
  <c r="L102" i="58"/>
  <c r="J102" i="58"/>
  <c r="H102" i="58"/>
  <c r="F102" i="58"/>
  <c r="D102" i="58"/>
  <c r="C102" i="58"/>
  <c r="L101" i="58"/>
  <c r="J101" i="58"/>
  <c r="H101" i="58"/>
  <c r="F101" i="58"/>
  <c r="D101" i="58"/>
  <c r="C101" i="58"/>
  <c r="F100" i="58"/>
  <c r="D100" i="58"/>
  <c r="C100" i="58"/>
  <c r="L99" i="58"/>
  <c r="J99" i="58"/>
  <c r="H99" i="58"/>
  <c r="F99" i="58"/>
  <c r="D99" i="58"/>
  <c r="C99" i="58"/>
  <c r="L98" i="58"/>
  <c r="J98" i="58"/>
  <c r="H98" i="58"/>
  <c r="F98" i="58"/>
  <c r="D98" i="58"/>
  <c r="C98" i="58"/>
  <c r="H97" i="58"/>
  <c r="F97" i="58"/>
  <c r="D97" i="58"/>
  <c r="C97" i="58"/>
  <c r="B92" i="58"/>
  <c r="B93" i="58" s="1"/>
  <c r="D91" i="58"/>
  <c r="B91" i="58"/>
  <c r="M89" i="58"/>
  <c r="K89" i="58"/>
  <c r="I89" i="58"/>
  <c r="G89" i="58"/>
  <c r="E89" i="58"/>
  <c r="C89" i="58"/>
  <c r="B89" i="58"/>
  <c r="M88" i="58"/>
  <c r="K88" i="58"/>
  <c r="I88" i="58"/>
  <c r="G88" i="58"/>
  <c r="E88" i="58"/>
  <c r="C88" i="58"/>
  <c r="B88" i="58"/>
  <c r="M87" i="58"/>
  <c r="K87" i="58"/>
  <c r="I87" i="58"/>
  <c r="G87" i="58"/>
  <c r="E87" i="58"/>
  <c r="C87" i="58"/>
  <c r="B87" i="58"/>
  <c r="M86" i="58"/>
  <c r="K86" i="58"/>
  <c r="I86" i="58"/>
  <c r="G86" i="58"/>
  <c r="E86" i="58"/>
  <c r="C86" i="58"/>
  <c r="B86" i="58"/>
  <c r="M85" i="58"/>
  <c r="K85" i="58"/>
  <c r="I85" i="58"/>
  <c r="G85" i="58"/>
  <c r="E85" i="58"/>
  <c r="C85" i="58"/>
  <c r="B85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M83" i="58"/>
  <c r="K83" i="58"/>
  <c r="I83" i="58"/>
  <c r="G83" i="58"/>
  <c r="E83" i="58"/>
  <c r="C83" i="58"/>
  <c r="B83" i="58"/>
  <c r="M82" i="58"/>
  <c r="K82" i="58"/>
  <c r="I82" i="58"/>
  <c r="G82" i="58"/>
  <c r="E82" i="58"/>
  <c r="C82" i="58"/>
  <c r="B82" i="58"/>
  <c r="N80" i="58"/>
  <c r="L80" i="58"/>
  <c r="J80" i="58"/>
  <c r="H80" i="58"/>
  <c r="F80" i="58"/>
  <c r="D80" i="58"/>
  <c r="C80" i="58"/>
  <c r="B80" i="58"/>
  <c r="C79" i="58"/>
  <c r="B79" i="58"/>
  <c r="L78" i="58"/>
  <c r="J78" i="58"/>
  <c r="H78" i="58"/>
  <c r="F78" i="58"/>
  <c r="D78" i="58"/>
  <c r="C78" i="58"/>
  <c r="L77" i="58"/>
  <c r="J77" i="58"/>
  <c r="H77" i="58"/>
  <c r="F77" i="58"/>
  <c r="D77" i="58"/>
  <c r="C77" i="58"/>
  <c r="F76" i="58"/>
  <c r="D76" i="58"/>
  <c r="C76" i="58"/>
  <c r="L75" i="58"/>
  <c r="J75" i="58"/>
  <c r="H75" i="58"/>
  <c r="F75" i="58"/>
  <c r="D75" i="58"/>
  <c r="C75" i="58"/>
  <c r="L74" i="58"/>
  <c r="J74" i="58"/>
  <c r="H74" i="58"/>
  <c r="F74" i="58"/>
  <c r="D74" i="58"/>
  <c r="C74" i="58"/>
  <c r="H73" i="58"/>
  <c r="F73" i="58"/>
  <c r="D73" i="58"/>
  <c r="C73" i="58"/>
  <c r="L72" i="58"/>
  <c r="J72" i="58"/>
  <c r="H72" i="58"/>
  <c r="F72" i="58"/>
  <c r="D72" i="58"/>
  <c r="C72" i="58"/>
  <c r="L71" i="58"/>
  <c r="J71" i="58"/>
  <c r="H71" i="58"/>
  <c r="F71" i="58"/>
  <c r="D71" i="58"/>
  <c r="C71" i="58"/>
  <c r="F70" i="58"/>
  <c r="D70" i="58"/>
  <c r="C70" i="58"/>
  <c r="L69" i="58"/>
  <c r="J69" i="58"/>
  <c r="H69" i="58"/>
  <c r="F69" i="58"/>
  <c r="D69" i="58"/>
  <c r="C69" i="58"/>
  <c r="L68" i="58"/>
  <c r="J68" i="58"/>
  <c r="H68" i="58"/>
  <c r="F68" i="58"/>
  <c r="D68" i="58"/>
  <c r="C68" i="58"/>
  <c r="H67" i="58"/>
  <c r="F67" i="58"/>
  <c r="D67" i="58"/>
  <c r="C67" i="58"/>
  <c r="B62" i="58"/>
  <c r="B63" i="58" s="1"/>
  <c r="D61" i="58"/>
  <c r="B61" i="58"/>
  <c r="M59" i="58"/>
  <c r="K59" i="58"/>
  <c r="I59" i="58"/>
  <c r="G59" i="58"/>
  <c r="E59" i="58"/>
  <c r="C59" i="58"/>
  <c r="B59" i="58"/>
  <c r="M58" i="58"/>
  <c r="K58" i="58"/>
  <c r="I58" i="58"/>
  <c r="G58" i="58"/>
  <c r="E58" i="58"/>
  <c r="C58" i="58"/>
  <c r="B58" i="58"/>
  <c r="M57" i="58"/>
  <c r="K57" i="58"/>
  <c r="I57" i="58"/>
  <c r="G57" i="58"/>
  <c r="E57" i="58"/>
  <c r="C57" i="58"/>
  <c r="B57" i="58"/>
  <c r="M56" i="58"/>
  <c r="K56" i="58"/>
  <c r="I56" i="58"/>
  <c r="G56" i="58"/>
  <c r="E56" i="58"/>
  <c r="C56" i="58"/>
  <c r="B56" i="58"/>
  <c r="M55" i="58"/>
  <c r="K55" i="58"/>
  <c r="I55" i="58"/>
  <c r="G55" i="58"/>
  <c r="E55" i="58"/>
  <c r="C55" i="58"/>
  <c r="B55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M53" i="58"/>
  <c r="K53" i="58"/>
  <c r="I53" i="58"/>
  <c r="G53" i="58"/>
  <c r="E53" i="58"/>
  <c r="C53" i="58"/>
  <c r="B53" i="58"/>
  <c r="M52" i="58"/>
  <c r="K52" i="58"/>
  <c r="I52" i="58"/>
  <c r="G52" i="58"/>
  <c r="E52" i="58"/>
  <c r="C52" i="58"/>
  <c r="B52" i="58"/>
  <c r="N50" i="58"/>
  <c r="L50" i="58"/>
  <c r="J50" i="58"/>
  <c r="H50" i="58"/>
  <c r="F50" i="58"/>
  <c r="D50" i="58"/>
  <c r="C50" i="58"/>
  <c r="B50" i="58"/>
  <c r="C49" i="58"/>
  <c r="B49" i="58"/>
  <c r="L48" i="58"/>
  <c r="J48" i="58"/>
  <c r="H48" i="58"/>
  <c r="F48" i="58"/>
  <c r="D48" i="58"/>
  <c r="C48" i="58"/>
  <c r="L47" i="58"/>
  <c r="J47" i="58"/>
  <c r="H47" i="58"/>
  <c r="F47" i="58"/>
  <c r="D47" i="58"/>
  <c r="C47" i="58"/>
  <c r="F46" i="58"/>
  <c r="D46" i="58"/>
  <c r="C46" i="58"/>
  <c r="L45" i="58"/>
  <c r="J45" i="58"/>
  <c r="H45" i="58"/>
  <c r="F45" i="58"/>
  <c r="D45" i="58"/>
  <c r="C45" i="58"/>
  <c r="L44" i="58"/>
  <c r="J44" i="58"/>
  <c r="H44" i="58"/>
  <c r="F44" i="58"/>
  <c r="D44" i="58"/>
  <c r="C44" i="58"/>
  <c r="H43" i="58"/>
  <c r="F43" i="58"/>
  <c r="D43" i="58"/>
  <c r="C43" i="58"/>
  <c r="L42" i="58"/>
  <c r="J42" i="58"/>
  <c r="H42" i="58"/>
  <c r="F42" i="58"/>
  <c r="D42" i="58"/>
  <c r="C42" i="58"/>
  <c r="L41" i="58"/>
  <c r="J41" i="58"/>
  <c r="H41" i="58"/>
  <c r="F41" i="58"/>
  <c r="D41" i="58"/>
  <c r="C41" i="58"/>
  <c r="F40" i="58"/>
  <c r="D40" i="58"/>
  <c r="C40" i="58"/>
  <c r="L39" i="58"/>
  <c r="J39" i="58"/>
  <c r="H39" i="58"/>
  <c r="F39" i="58"/>
  <c r="D39" i="58"/>
  <c r="C39" i="58"/>
  <c r="L38" i="58"/>
  <c r="J38" i="58"/>
  <c r="H38" i="58"/>
  <c r="F38" i="58"/>
  <c r="D38" i="58"/>
  <c r="C38" i="58"/>
  <c r="H37" i="58"/>
  <c r="F37" i="58"/>
  <c r="D37" i="58"/>
  <c r="C37" i="58"/>
  <c r="B32" i="58"/>
  <c r="B33" i="58"/>
  <c r="D31" i="58"/>
  <c r="B31" i="58"/>
  <c r="M29" i="58"/>
  <c r="K29" i="58"/>
  <c r="I29" i="58"/>
  <c r="G29" i="58"/>
  <c r="E29" i="58"/>
  <c r="C29" i="58"/>
  <c r="B29" i="58"/>
  <c r="M28" i="58"/>
  <c r="K28" i="58"/>
  <c r="I28" i="58"/>
  <c r="G28" i="58"/>
  <c r="E28" i="58"/>
  <c r="C28" i="58"/>
  <c r="B28" i="58"/>
  <c r="M27" i="58"/>
  <c r="K27" i="58"/>
  <c r="I27" i="58"/>
  <c r="G27" i="58"/>
  <c r="E27" i="58"/>
  <c r="C27" i="58"/>
  <c r="B27" i="58"/>
  <c r="M26" i="58"/>
  <c r="K26" i="58"/>
  <c r="I26" i="58"/>
  <c r="G26" i="58"/>
  <c r="E26" i="58"/>
  <c r="C26" i="58"/>
  <c r="B26" i="58"/>
  <c r="M25" i="58"/>
  <c r="K25" i="58"/>
  <c r="I25" i="58"/>
  <c r="G25" i="58"/>
  <c r="E25" i="58"/>
  <c r="C25" i="58"/>
  <c r="B25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M23" i="58"/>
  <c r="K23" i="58"/>
  <c r="I23" i="58"/>
  <c r="G23" i="58"/>
  <c r="E23" i="58"/>
  <c r="C23" i="58"/>
  <c r="B23" i="58"/>
  <c r="M22" i="58"/>
  <c r="K22" i="58"/>
  <c r="I22" i="58"/>
  <c r="G22" i="58"/>
  <c r="E22" i="58"/>
  <c r="C22" i="58"/>
  <c r="B22" i="58"/>
  <c r="N20" i="58"/>
  <c r="L20" i="58"/>
  <c r="J20" i="58"/>
  <c r="H20" i="58"/>
  <c r="F20" i="58"/>
  <c r="D20" i="58"/>
  <c r="C20" i="58"/>
  <c r="B20" i="58"/>
  <c r="C19" i="58"/>
  <c r="B19" i="58"/>
  <c r="L18" i="58"/>
  <c r="J18" i="58"/>
  <c r="H18" i="58"/>
  <c r="F18" i="58"/>
  <c r="D18" i="58"/>
  <c r="C18" i="58"/>
  <c r="N17" i="58"/>
  <c r="L17" i="58"/>
  <c r="J17" i="58"/>
  <c r="H17" i="58"/>
  <c r="F17" i="58"/>
  <c r="D17" i="58"/>
  <c r="C17" i="58"/>
  <c r="F16" i="58"/>
  <c r="D16" i="58"/>
  <c r="C16" i="58"/>
  <c r="L15" i="58"/>
  <c r="J15" i="58"/>
  <c r="H15" i="58"/>
  <c r="F15" i="58"/>
  <c r="D15" i="58"/>
  <c r="C15" i="58"/>
  <c r="N14" i="58"/>
  <c r="L14" i="58"/>
  <c r="J14" i="58"/>
  <c r="H14" i="58"/>
  <c r="F14" i="58"/>
  <c r="D14" i="58"/>
  <c r="C14" i="58"/>
  <c r="H13" i="58"/>
  <c r="F13" i="58"/>
  <c r="D13" i="58"/>
  <c r="C13" i="58"/>
  <c r="N12" i="58"/>
  <c r="L12" i="58"/>
  <c r="J12" i="58"/>
  <c r="H12" i="58"/>
  <c r="F12" i="58"/>
  <c r="D12" i="58"/>
  <c r="C12" i="58"/>
  <c r="L11" i="58"/>
  <c r="J11" i="58"/>
  <c r="H11" i="58"/>
  <c r="F11" i="58"/>
  <c r="D11" i="58"/>
  <c r="C11" i="58"/>
  <c r="F10" i="58"/>
  <c r="D10" i="58"/>
  <c r="C10" i="58"/>
  <c r="L9" i="58"/>
  <c r="J9" i="58"/>
  <c r="H9" i="58"/>
  <c r="F9" i="58"/>
  <c r="D9" i="58"/>
  <c r="C9" i="58"/>
  <c r="L8" i="58"/>
  <c r="J8" i="58"/>
  <c r="H8" i="58"/>
  <c r="F8" i="58"/>
  <c r="D8" i="58"/>
  <c r="C8" i="58"/>
  <c r="H7" i="58"/>
  <c r="F7" i="58"/>
  <c r="D7" i="58"/>
  <c r="C7" i="58"/>
  <c r="S3" i="58"/>
  <c r="BQ7" i="58" s="1"/>
  <c r="BQ8" i="58" s="1"/>
  <c r="BQ9" i="58" s="1"/>
  <c r="BQ10" i="58" s="1"/>
  <c r="BQ11" i="58" s="1"/>
  <c r="BQ12" i="58" s="1"/>
  <c r="BQ13" i="58" s="1"/>
  <c r="BQ14" i="58" s="1"/>
  <c r="BQ15" i="58" s="1"/>
  <c r="BQ16" i="58" s="1"/>
  <c r="BQ17" i="58" s="1"/>
  <c r="BQ18" i="58" s="1"/>
  <c r="B2" i="58"/>
  <c r="D1" i="58"/>
  <c r="B1" i="58"/>
  <c r="N77" i="57"/>
  <c r="N74" i="57"/>
  <c r="N48" i="57"/>
  <c r="N41" i="57"/>
  <c r="AC22" i="57"/>
  <c r="AC23" i="57" s="1"/>
  <c r="L23" i="57" s="1"/>
  <c r="AA22" i="57"/>
  <c r="J22" i="57" s="1"/>
  <c r="Y22" i="57"/>
  <c r="W22" i="57"/>
  <c r="U22" i="57"/>
  <c r="M179" i="57"/>
  <c r="K179" i="57"/>
  <c r="I179" i="57"/>
  <c r="G179" i="57"/>
  <c r="E179" i="57"/>
  <c r="C179" i="57"/>
  <c r="B179" i="57"/>
  <c r="M178" i="57"/>
  <c r="K178" i="57"/>
  <c r="I178" i="57"/>
  <c r="G178" i="57"/>
  <c r="E178" i="57"/>
  <c r="C178" i="57"/>
  <c r="B178" i="57"/>
  <c r="M177" i="57"/>
  <c r="K177" i="57"/>
  <c r="I177" i="57"/>
  <c r="G177" i="57"/>
  <c r="E177" i="57"/>
  <c r="C177" i="57"/>
  <c r="B177" i="57"/>
  <c r="M176" i="57"/>
  <c r="K176" i="57"/>
  <c r="I176" i="57"/>
  <c r="G176" i="57"/>
  <c r="E176" i="57"/>
  <c r="C176" i="57"/>
  <c r="B176" i="57"/>
  <c r="M175" i="57"/>
  <c r="K175" i="57"/>
  <c r="I175" i="57"/>
  <c r="G175" i="57"/>
  <c r="E175" i="57"/>
  <c r="C175" i="57"/>
  <c r="B175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M173" i="57"/>
  <c r="K173" i="57"/>
  <c r="I173" i="57"/>
  <c r="G173" i="57"/>
  <c r="E173" i="57"/>
  <c r="C173" i="57"/>
  <c r="B173" i="57"/>
  <c r="M172" i="57"/>
  <c r="K172" i="57"/>
  <c r="I172" i="57"/>
  <c r="G172" i="57"/>
  <c r="E172" i="57"/>
  <c r="C172" i="57"/>
  <c r="B172" i="57"/>
  <c r="N170" i="57"/>
  <c r="L170" i="57"/>
  <c r="J170" i="57"/>
  <c r="H170" i="57"/>
  <c r="F170" i="57"/>
  <c r="D170" i="57"/>
  <c r="C170" i="57"/>
  <c r="B170" i="57"/>
  <c r="C169" i="57"/>
  <c r="B169" i="57"/>
  <c r="L168" i="57"/>
  <c r="J168" i="57"/>
  <c r="H168" i="57"/>
  <c r="F168" i="57"/>
  <c r="D168" i="57"/>
  <c r="C168" i="57"/>
  <c r="L167" i="57"/>
  <c r="J167" i="57"/>
  <c r="H167" i="57"/>
  <c r="F167" i="57"/>
  <c r="D167" i="57"/>
  <c r="C167" i="57"/>
  <c r="F166" i="57"/>
  <c r="D166" i="57"/>
  <c r="C166" i="57"/>
  <c r="L165" i="57"/>
  <c r="J165" i="57"/>
  <c r="H165" i="57"/>
  <c r="F165" i="57"/>
  <c r="D165" i="57"/>
  <c r="C165" i="57"/>
  <c r="L164" i="57"/>
  <c r="J164" i="57"/>
  <c r="H164" i="57"/>
  <c r="F164" i="57"/>
  <c r="D164" i="57"/>
  <c r="C164" i="57"/>
  <c r="H163" i="57"/>
  <c r="F163" i="57"/>
  <c r="D163" i="57"/>
  <c r="C163" i="57"/>
  <c r="L162" i="57"/>
  <c r="J162" i="57"/>
  <c r="H162" i="57"/>
  <c r="F162" i="57"/>
  <c r="D162" i="57"/>
  <c r="C162" i="57"/>
  <c r="L161" i="57"/>
  <c r="J161" i="57"/>
  <c r="H161" i="57"/>
  <c r="F161" i="57"/>
  <c r="D161" i="57"/>
  <c r="C161" i="57"/>
  <c r="F160" i="57"/>
  <c r="D160" i="57"/>
  <c r="C160" i="57"/>
  <c r="L159" i="57"/>
  <c r="J159" i="57"/>
  <c r="H159" i="57"/>
  <c r="F159" i="57"/>
  <c r="D159" i="57"/>
  <c r="C159" i="57"/>
  <c r="L158" i="57"/>
  <c r="J158" i="57"/>
  <c r="H158" i="57"/>
  <c r="F158" i="57"/>
  <c r="D158" i="57"/>
  <c r="C158" i="57"/>
  <c r="H157" i="57"/>
  <c r="F157" i="57"/>
  <c r="D157" i="57"/>
  <c r="C157" i="57"/>
  <c r="B152" i="57"/>
  <c r="B153" i="57" s="1"/>
  <c r="B151" i="57"/>
  <c r="M149" i="57"/>
  <c r="K149" i="57"/>
  <c r="I149" i="57"/>
  <c r="G149" i="57"/>
  <c r="E149" i="57"/>
  <c r="C149" i="57"/>
  <c r="B149" i="57"/>
  <c r="M148" i="57"/>
  <c r="K148" i="57"/>
  <c r="I148" i="57"/>
  <c r="G148" i="57"/>
  <c r="E148" i="57"/>
  <c r="C148" i="57"/>
  <c r="B148" i="57"/>
  <c r="M147" i="57"/>
  <c r="K147" i="57"/>
  <c r="I147" i="57"/>
  <c r="G147" i="57"/>
  <c r="E147" i="57"/>
  <c r="C147" i="57"/>
  <c r="B147" i="57"/>
  <c r="M146" i="57"/>
  <c r="K146" i="57"/>
  <c r="I146" i="57"/>
  <c r="G146" i="57"/>
  <c r="E146" i="57"/>
  <c r="C146" i="57"/>
  <c r="B146" i="57"/>
  <c r="M145" i="57"/>
  <c r="K145" i="57"/>
  <c r="I145" i="57"/>
  <c r="G145" i="57"/>
  <c r="E145" i="57"/>
  <c r="C145" i="57"/>
  <c r="B145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M143" i="57"/>
  <c r="K143" i="57"/>
  <c r="I143" i="57"/>
  <c r="G143" i="57"/>
  <c r="E143" i="57"/>
  <c r="C143" i="57"/>
  <c r="B143" i="57"/>
  <c r="M142" i="57"/>
  <c r="K142" i="57"/>
  <c r="I142" i="57"/>
  <c r="G142" i="57"/>
  <c r="E142" i="57"/>
  <c r="C142" i="57"/>
  <c r="B142" i="57"/>
  <c r="N140" i="57"/>
  <c r="L140" i="57"/>
  <c r="J140" i="57"/>
  <c r="H140" i="57"/>
  <c r="F140" i="57"/>
  <c r="D140" i="57"/>
  <c r="C140" i="57"/>
  <c r="B140" i="57"/>
  <c r="C139" i="57"/>
  <c r="B139" i="57"/>
  <c r="L138" i="57"/>
  <c r="J138" i="57"/>
  <c r="H138" i="57"/>
  <c r="F138" i="57"/>
  <c r="D138" i="57"/>
  <c r="C138" i="57"/>
  <c r="L137" i="57"/>
  <c r="J137" i="57"/>
  <c r="H137" i="57"/>
  <c r="F137" i="57"/>
  <c r="D137" i="57"/>
  <c r="C137" i="57"/>
  <c r="F136" i="57"/>
  <c r="D136" i="57"/>
  <c r="C136" i="57"/>
  <c r="L135" i="57"/>
  <c r="J135" i="57"/>
  <c r="H135" i="57"/>
  <c r="F135" i="57"/>
  <c r="D135" i="57"/>
  <c r="C135" i="57"/>
  <c r="L134" i="57"/>
  <c r="J134" i="57"/>
  <c r="H134" i="57"/>
  <c r="F134" i="57"/>
  <c r="D134" i="57"/>
  <c r="C134" i="57"/>
  <c r="H133" i="57"/>
  <c r="F133" i="57"/>
  <c r="D133" i="57"/>
  <c r="C133" i="57"/>
  <c r="L132" i="57"/>
  <c r="J132" i="57"/>
  <c r="H132" i="57"/>
  <c r="F132" i="57"/>
  <c r="D132" i="57"/>
  <c r="C132" i="57"/>
  <c r="L131" i="57"/>
  <c r="J131" i="57"/>
  <c r="H131" i="57"/>
  <c r="F131" i="57"/>
  <c r="D131" i="57"/>
  <c r="C131" i="57"/>
  <c r="F130" i="57"/>
  <c r="D130" i="57"/>
  <c r="C130" i="57"/>
  <c r="L129" i="57"/>
  <c r="J129" i="57"/>
  <c r="H129" i="57"/>
  <c r="F129" i="57"/>
  <c r="D129" i="57"/>
  <c r="C129" i="57"/>
  <c r="L128" i="57"/>
  <c r="J128" i="57"/>
  <c r="H128" i="57"/>
  <c r="F128" i="57"/>
  <c r="D128" i="57"/>
  <c r="C128" i="57"/>
  <c r="H127" i="57"/>
  <c r="F127" i="57"/>
  <c r="D127" i="57"/>
  <c r="C127" i="57"/>
  <c r="B122" i="57"/>
  <c r="B123" i="57" s="1"/>
  <c r="B121" i="57"/>
  <c r="M119" i="57"/>
  <c r="K119" i="57"/>
  <c r="I119" i="57"/>
  <c r="G119" i="57"/>
  <c r="E119" i="57"/>
  <c r="C119" i="57"/>
  <c r="B119" i="57"/>
  <c r="M118" i="57"/>
  <c r="K118" i="57"/>
  <c r="I118" i="57"/>
  <c r="G118" i="57"/>
  <c r="E118" i="57"/>
  <c r="C118" i="57"/>
  <c r="B118" i="57"/>
  <c r="M117" i="57"/>
  <c r="K117" i="57"/>
  <c r="I117" i="57"/>
  <c r="G117" i="57"/>
  <c r="E117" i="57"/>
  <c r="C117" i="57"/>
  <c r="B117" i="57"/>
  <c r="M116" i="57"/>
  <c r="K116" i="57"/>
  <c r="I116" i="57"/>
  <c r="G116" i="57"/>
  <c r="E116" i="57"/>
  <c r="C116" i="57"/>
  <c r="B116" i="57"/>
  <c r="M115" i="57"/>
  <c r="K115" i="57"/>
  <c r="I115" i="57"/>
  <c r="G115" i="57"/>
  <c r="E115" i="57"/>
  <c r="C115" i="57"/>
  <c r="B115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M113" i="57"/>
  <c r="K113" i="57"/>
  <c r="I113" i="57"/>
  <c r="G113" i="57"/>
  <c r="E113" i="57"/>
  <c r="C113" i="57"/>
  <c r="B113" i="57"/>
  <c r="M112" i="57"/>
  <c r="K112" i="57"/>
  <c r="I112" i="57"/>
  <c r="G112" i="57"/>
  <c r="E112" i="57"/>
  <c r="C112" i="57"/>
  <c r="B112" i="57"/>
  <c r="N110" i="57"/>
  <c r="L110" i="57"/>
  <c r="J110" i="57"/>
  <c r="H110" i="57"/>
  <c r="F110" i="57"/>
  <c r="D110" i="57"/>
  <c r="C110" i="57"/>
  <c r="B110" i="57"/>
  <c r="C109" i="57"/>
  <c r="B109" i="57"/>
  <c r="L108" i="57"/>
  <c r="J108" i="57"/>
  <c r="H108" i="57"/>
  <c r="F108" i="57"/>
  <c r="D108" i="57"/>
  <c r="C108" i="57"/>
  <c r="L107" i="57"/>
  <c r="J107" i="57"/>
  <c r="H107" i="57"/>
  <c r="F107" i="57"/>
  <c r="D107" i="57"/>
  <c r="C107" i="57"/>
  <c r="F106" i="57"/>
  <c r="D106" i="57"/>
  <c r="C106" i="57"/>
  <c r="L105" i="57"/>
  <c r="J105" i="57"/>
  <c r="H105" i="57"/>
  <c r="F105" i="57"/>
  <c r="D105" i="57"/>
  <c r="C105" i="57"/>
  <c r="L104" i="57"/>
  <c r="J104" i="57"/>
  <c r="H104" i="57"/>
  <c r="F104" i="57"/>
  <c r="D104" i="57"/>
  <c r="C104" i="57"/>
  <c r="H103" i="57"/>
  <c r="F103" i="57"/>
  <c r="D103" i="57"/>
  <c r="C103" i="57"/>
  <c r="L102" i="57"/>
  <c r="J102" i="57"/>
  <c r="H102" i="57"/>
  <c r="F102" i="57"/>
  <c r="D102" i="57"/>
  <c r="C102" i="57"/>
  <c r="L101" i="57"/>
  <c r="J101" i="57"/>
  <c r="H101" i="57"/>
  <c r="F101" i="57"/>
  <c r="D101" i="57"/>
  <c r="C101" i="57"/>
  <c r="F100" i="57"/>
  <c r="D100" i="57"/>
  <c r="C100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H97" i="57"/>
  <c r="F97" i="57"/>
  <c r="D97" i="57"/>
  <c r="C97" i="57"/>
  <c r="B92" i="57"/>
  <c r="B93" i="57" s="1"/>
  <c r="B91" i="57"/>
  <c r="M89" i="57"/>
  <c r="K89" i="57"/>
  <c r="I89" i="57"/>
  <c r="G89" i="57"/>
  <c r="E89" i="57"/>
  <c r="C89" i="57"/>
  <c r="B89" i="57"/>
  <c r="M88" i="57"/>
  <c r="K88" i="57"/>
  <c r="I88" i="57"/>
  <c r="G88" i="57"/>
  <c r="E88" i="57"/>
  <c r="C88" i="57"/>
  <c r="B88" i="57"/>
  <c r="M87" i="57"/>
  <c r="K87" i="57"/>
  <c r="I87" i="57"/>
  <c r="G87" i="57"/>
  <c r="E87" i="57"/>
  <c r="C87" i="57"/>
  <c r="B87" i="57"/>
  <c r="M86" i="57"/>
  <c r="K86" i="57"/>
  <c r="I86" i="57"/>
  <c r="G86" i="57"/>
  <c r="E86" i="57"/>
  <c r="C86" i="57"/>
  <c r="B86" i="57"/>
  <c r="M85" i="57"/>
  <c r="K85" i="57"/>
  <c r="I85" i="57"/>
  <c r="G85" i="57"/>
  <c r="E85" i="57"/>
  <c r="C85" i="57"/>
  <c r="B85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M83" i="57"/>
  <c r="K83" i="57"/>
  <c r="I83" i="57"/>
  <c r="G83" i="57"/>
  <c r="E83" i="57"/>
  <c r="C83" i="57"/>
  <c r="B83" i="57"/>
  <c r="M82" i="57"/>
  <c r="K82" i="57"/>
  <c r="I82" i="57"/>
  <c r="G82" i="57"/>
  <c r="E82" i="57"/>
  <c r="C82" i="57"/>
  <c r="B82" i="57"/>
  <c r="N80" i="57"/>
  <c r="L80" i="57"/>
  <c r="J80" i="57"/>
  <c r="H80" i="57"/>
  <c r="F80" i="57"/>
  <c r="D80" i="57"/>
  <c r="C80" i="57"/>
  <c r="B80" i="57"/>
  <c r="D79" i="57"/>
  <c r="C79" i="57"/>
  <c r="B79" i="57"/>
  <c r="L78" i="57"/>
  <c r="J78" i="57"/>
  <c r="H78" i="57"/>
  <c r="F78" i="57"/>
  <c r="D78" i="57"/>
  <c r="C78" i="57"/>
  <c r="L77" i="57"/>
  <c r="J77" i="57"/>
  <c r="H77" i="57"/>
  <c r="F77" i="57"/>
  <c r="D77" i="57"/>
  <c r="C77" i="57"/>
  <c r="F76" i="57"/>
  <c r="D76" i="57"/>
  <c r="C76" i="57"/>
  <c r="L75" i="57"/>
  <c r="J75" i="57"/>
  <c r="H75" i="57"/>
  <c r="F75" i="57"/>
  <c r="D75" i="57"/>
  <c r="C75" i="57"/>
  <c r="L74" i="57"/>
  <c r="J74" i="57"/>
  <c r="H74" i="57"/>
  <c r="F74" i="57"/>
  <c r="D74" i="57"/>
  <c r="C74" i="57"/>
  <c r="H73" i="57"/>
  <c r="F73" i="57"/>
  <c r="D73" i="57"/>
  <c r="C73" i="57"/>
  <c r="L72" i="57"/>
  <c r="J72" i="57"/>
  <c r="H72" i="57"/>
  <c r="F72" i="57"/>
  <c r="D72" i="57"/>
  <c r="C72" i="57"/>
  <c r="L71" i="57"/>
  <c r="J71" i="57"/>
  <c r="H71" i="57"/>
  <c r="F71" i="57"/>
  <c r="D71" i="57"/>
  <c r="C71" i="57"/>
  <c r="F70" i="57"/>
  <c r="D70" i="57"/>
  <c r="C70" i="57"/>
  <c r="L69" i="57"/>
  <c r="J69" i="57"/>
  <c r="H69" i="57"/>
  <c r="F69" i="57"/>
  <c r="D69" i="57"/>
  <c r="C69" i="57"/>
  <c r="L68" i="57"/>
  <c r="J68" i="57"/>
  <c r="H68" i="57"/>
  <c r="F68" i="57"/>
  <c r="D68" i="57"/>
  <c r="C68" i="57"/>
  <c r="H67" i="57"/>
  <c r="F67" i="57"/>
  <c r="D67" i="57"/>
  <c r="C67" i="57"/>
  <c r="B62" i="57"/>
  <c r="B63" i="57" s="1"/>
  <c r="B61" i="57"/>
  <c r="M59" i="57"/>
  <c r="K59" i="57"/>
  <c r="I59" i="57"/>
  <c r="G59" i="57"/>
  <c r="E59" i="57"/>
  <c r="C59" i="57"/>
  <c r="B59" i="57"/>
  <c r="M58" i="57"/>
  <c r="K58" i="57"/>
  <c r="I58" i="57"/>
  <c r="G58" i="57"/>
  <c r="E58" i="57"/>
  <c r="C58" i="57"/>
  <c r="B58" i="57"/>
  <c r="M57" i="57"/>
  <c r="K57" i="57"/>
  <c r="I57" i="57"/>
  <c r="G57" i="57"/>
  <c r="E57" i="57"/>
  <c r="C57" i="57"/>
  <c r="B57" i="57"/>
  <c r="M56" i="57"/>
  <c r="K56" i="57"/>
  <c r="I56" i="57"/>
  <c r="G56" i="57"/>
  <c r="E56" i="57"/>
  <c r="C56" i="57"/>
  <c r="B56" i="57"/>
  <c r="M55" i="57"/>
  <c r="K55" i="57"/>
  <c r="I55" i="57"/>
  <c r="G55" i="57"/>
  <c r="E55" i="57"/>
  <c r="C55" i="57"/>
  <c r="B55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M53" i="57"/>
  <c r="K53" i="57"/>
  <c r="I53" i="57"/>
  <c r="G53" i="57"/>
  <c r="E53" i="57"/>
  <c r="C53" i="57"/>
  <c r="B53" i="57"/>
  <c r="M52" i="57"/>
  <c r="K52" i="57"/>
  <c r="I52" i="57"/>
  <c r="G52" i="57"/>
  <c r="E52" i="57"/>
  <c r="C52" i="57"/>
  <c r="B52" i="57"/>
  <c r="N50" i="57"/>
  <c r="L50" i="57"/>
  <c r="J50" i="57"/>
  <c r="H50" i="57"/>
  <c r="F50" i="57"/>
  <c r="D50" i="57"/>
  <c r="C50" i="57"/>
  <c r="B50" i="57"/>
  <c r="C49" i="57"/>
  <c r="B49" i="57"/>
  <c r="L48" i="57"/>
  <c r="J48" i="57"/>
  <c r="H48" i="57"/>
  <c r="F48" i="57"/>
  <c r="D48" i="57"/>
  <c r="C48" i="57"/>
  <c r="L47" i="57"/>
  <c r="J47" i="57"/>
  <c r="H47" i="57"/>
  <c r="F47" i="57"/>
  <c r="D47" i="57"/>
  <c r="C47" i="57"/>
  <c r="F46" i="57"/>
  <c r="D46" i="57"/>
  <c r="C46" i="57"/>
  <c r="L45" i="57"/>
  <c r="J45" i="57"/>
  <c r="H45" i="57"/>
  <c r="F45" i="57"/>
  <c r="D45" i="57"/>
  <c r="C45" i="57"/>
  <c r="L44" i="57"/>
  <c r="J44" i="57"/>
  <c r="H44" i="57"/>
  <c r="F44" i="57"/>
  <c r="D44" i="57"/>
  <c r="C44" i="57"/>
  <c r="H43" i="57"/>
  <c r="F43" i="57"/>
  <c r="D43" i="57"/>
  <c r="C43" i="57"/>
  <c r="L42" i="57"/>
  <c r="J42" i="57"/>
  <c r="H42" i="57"/>
  <c r="F42" i="57"/>
  <c r="D42" i="57"/>
  <c r="C42" i="57"/>
  <c r="L41" i="57"/>
  <c r="J41" i="57"/>
  <c r="H41" i="57"/>
  <c r="F41" i="57"/>
  <c r="D41" i="57"/>
  <c r="C41" i="57"/>
  <c r="F40" i="57"/>
  <c r="D40" i="57"/>
  <c r="C40" i="57"/>
  <c r="L39" i="57"/>
  <c r="J39" i="57"/>
  <c r="H39" i="57"/>
  <c r="F39" i="57"/>
  <c r="D39" i="57"/>
  <c r="C39" i="57"/>
  <c r="L38" i="57"/>
  <c r="J38" i="57"/>
  <c r="H38" i="57"/>
  <c r="F38" i="57"/>
  <c r="D38" i="57"/>
  <c r="C38" i="57"/>
  <c r="H37" i="57"/>
  <c r="F37" i="57"/>
  <c r="D37" i="57"/>
  <c r="C37" i="57"/>
  <c r="B32" i="57"/>
  <c r="B33" i="57" s="1"/>
  <c r="B31" i="57"/>
  <c r="M29" i="57"/>
  <c r="K29" i="57"/>
  <c r="I29" i="57"/>
  <c r="G29" i="57"/>
  <c r="E29" i="57"/>
  <c r="C29" i="57"/>
  <c r="B29" i="57"/>
  <c r="M28" i="57"/>
  <c r="K28" i="57"/>
  <c r="I28" i="57"/>
  <c r="G28" i="57"/>
  <c r="E28" i="57"/>
  <c r="C28" i="57"/>
  <c r="B28" i="57"/>
  <c r="M27" i="57"/>
  <c r="K27" i="57"/>
  <c r="I27" i="57"/>
  <c r="G27" i="57"/>
  <c r="E27" i="57"/>
  <c r="C27" i="57"/>
  <c r="B27" i="57"/>
  <c r="M26" i="57"/>
  <c r="K26" i="57"/>
  <c r="I26" i="57"/>
  <c r="G26" i="57"/>
  <c r="E26" i="57"/>
  <c r="C26" i="57"/>
  <c r="B26" i="57"/>
  <c r="M25" i="57"/>
  <c r="K25" i="57"/>
  <c r="I25" i="57"/>
  <c r="G25" i="57"/>
  <c r="E25" i="57"/>
  <c r="C25" i="57"/>
  <c r="B25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M23" i="57"/>
  <c r="K23" i="57"/>
  <c r="I23" i="57"/>
  <c r="G23" i="57"/>
  <c r="E23" i="57"/>
  <c r="C23" i="57"/>
  <c r="B23" i="57"/>
  <c r="M22" i="57"/>
  <c r="K22" i="57"/>
  <c r="I22" i="57"/>
  <c r="G22" i="57"/>
  <c r="E22" i="57"/>
  <c r="C22" i="57"/>
  <c r="B22" i="57"/>
  <c r="N20" i="57"/>
  <c r="L20" i="57"/>
  <c r="J20" i="57"/>
  <c r="H20" i="57"/>
  <c r="F20" i="57"/>
  <c r="D20" i="57"/>
  <c r="C20" i="57"/>
  <c r="B20" i="57"/>
  <c r="C19" i="57"/>
  <c r="B19" i="57"/>
  <c r="L18" i="57"/>
  <c r="J18" i="57"/>
  <c r="H18" i="57"/>
  <c r="F18" i="57"/>
  <c r="D18" i="57"/>
  <c r="C18" i="57"/>
  <c r="L17" i="57"/>
  <c r="J17" i="57"/>
  <c r="H17" i="57"/>
  <c r="F17" i="57"/>
  <c r="D17" i="57"/>
  <c r="C17" i="57"/>
  <c r="F16" i="57"/>
  <c r="D16" i="57"/>
  <c r="C16" i="57"/>
  <c r="L15" i="57"/>
  <c r="J15" i="57"/>
  <c r="H15" i="57"/>
  <c r="F15" i="57"/>
  <c r="D15" i="57"/>
  <c r="C15" i="57"/>
  <c r="N14" i="57"/>
  <c r="L14" i="57"/>
  <c r="J14" i="57"/>
  <c r="H14" i="57"/>
  <c r="F14" i="57"/>
  <c r="D14" i="57"/>
  <c r="C14" i="57"/>
  <c r="H13" i="57"/>
  <c r="F13" i="57"/>
  <c r="D13" i="57"/>
  <c r="C13" i="57"/>
  <c r="L12" i="57"/>
  <c r="J12" i="57"/>
  <c r="H12" i="57"/>
  <c r="F12" i="57"/>
  <c r="D12" i="57"/>
  <c r="C12" i="57"/>
  <c r="L11" i="57"/>
  <c r="J11" i="57"/>
  <c r="H11" i="57"/>
  <c r="F11" i="57"/>
  <c r="D11" i="57"/>
  <c r="C11" i="57"/>
  <c r="F10" i="57"/>
  <c r="D10" i="57"/>
  <c r="C10" i="57"/>
  <c r="L9" i="57"/>
  <c r="J9" i="57"/>
  <c r="H9" i="57"/>
  <c r="F9" i="57"/>
  <c r="D9" i="57"/>
  <c r="C9" i="57"/>
  <c r="L8" i="57"/>
  <c r="J8" i="57"/>
  <c r="H8" i="57"/>
  <c r="F8" i="57"/>
  <c r="D8" i="57"/>
  <c r="C8" i="57"/>
  <c r="J7" i="57"/>
  <c r="H7" i="57"/>
  <c r="F7" i="57"/>
  <c r="D7" i="57"/>
  <c r="C7" i="57"/>
  <c r="S3" i="57"/>
  <c r="BQ7" i="57" s="1"/>
  <c r="BQ8" i="57" s="1"/>
  <c r="BQ9" i="57" s="1"/>
  <c r="BQ10" i="57" s="1"/>
  <c r="BQ11" i="57" s="1"/>
  <c r="BQ12" i="57" s="1"/>
  <c r="BQ13" i="57" s="1"/>
  <c r="BQ14" i="57" s="1"/>
  <c r="BQ15" i="57" s="1"/>
  <c r="BQ16" i="57" s="1"/>
  <c r="BQ17" i="57" s="1"/>
  <c r="BQ18" i="57" s="1"/>
  <c r="B2" i="57"/>
  <c r="D1" i="57"/>
  <c r="B1" i="57"/>
  <c r="N39" i="55"/>
  <c r="AC22" i="55"/>
  <c r="AA22" i="55"/>
  <c r="J22" i="55" s="1"/>
  <c r="Y22" i="55"/>
  <c r="Y23" i="55" s="1"/>
  <c r="H23" i="55" s="1"/>
  <c r="W22" i="55"/>
  <c r="F22" i="55" s="1"/>
  <c r="U22" i="55"/>
  <c r="M179" i="55"/>
  <c r="K179" i="55"/>
  <c r="I179" i="55"/>
  <c r="G179" i="55"/>
  <c r="E179" i="55"/>
  <c r="C179" i="55"/>
  <c r="B179" i="55"/>
  <c r="M178" i="55"/>
  <c r="K178" i="55"/>
  <c r="I178" i="55"/>
  <c r="G178" i="55"/>
  <c r="E178" i="55"/>
  <c r="C178" i="55"/>
  <c r="B178" i="55"/>
  <c r="M177" i="55"/>
  <c r="K177" i="55"/>
  <c r="I177" i="55"/>
  <c r="G177" i="55"/>
  <c r="E177" i="55"/>
  <c r="C177" i="55"/>
  <c r="B177" i="55"/>
  <c r="M176" i="55"/>
  <c r="K176" i="55"/>
  <c r="I176" i="55"/>
  <c r="G176" i="55"/>
  <c r="E176" i="55"/>
  <c r="C176" i="55"/>
  <c r="B176" i="55"/>
  <c r="M175" i="55"/>
  <c r="K175" i="55"/>
  <c r="I175" i="55"/>
  <c r="G175" i="55"/>
  <c r="E175" i="55"/>
  <c r="C175" i="55"/>
  <c r="B175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M173" i="55"/>
  <c r="K173" i="55"/>
  <c r="I173" i="55"/>
  <c r="G173" i="55"/>
  <c r="E173" i="55"/>
  <c r="C173" i="55"/>
  <c r="B173" i="55"/>
  <c r="M172" i="55"/>
  <c r="K172" i="55"/>
  <c r="I172" i="55"/>
  <c r="G172" i="55"/>
  <c r="E172" i="55"/>
  <c r="C172" i="55"/>
  <c r="B172" i="55"/>
  <c r="N170" i="55"/>
  <c r="L170" i="55"/>
  <c r="J170" i="55"/>
  <c r="H170" i="55"/>
  <c r="F170" i="55"/>
  <c r="D170" i="55"/>
  <c r="C170" i="55"/>
  <c r="B170" i="55"/>
  <c r="C169" i="55"/>
  <c r="B169" i="55"/>
  <c r="L168" i="55"/>
  <c r="J168" i="55"/>
  <c r="H168" i="55"/>
  <c r="F168" i="55"/>
  <c r="D168" i="55"/>
  <c r="C168" i="55"/>
  <c r="L167" i="55"/>
  <c r="J167" i="55"/>
  <c r="H167" i="55"/>
  <c r="F167" i="55"/>
  <c r="D167" i="55"/>
  <c r="C167" i="55"/>
  <c r="F166" i="55"/>
  <c r="D166" i="55"/>
  <c r="C166" i="55"/>
  <c r="L165" i="55"/>
  <c r="J165" i="55"/>
  <c r="H165" i="55"/>
  <c r="F165" i="55"/>
  <c r="D165" i="55"/>
  <c r="C165" i="55"/>
  <c r="L164" i="55"/>
  <c r="J164" i="55"/>
  <c r="H164" i="55"/>
  <c r="F164" i="55"/>
  <c r="D164" i="55"/>
  <c r="C164" i="55"/>
  <c r="H163" i="55"/>
  <c r="F163" i="55"/>
  <c r="D163" i="55"/>
  <c r="C163" i="55"/>
  <c r="L162" i="55"/>
  <c r="J162" i="55"/>
  <c r="H162" i="55"/>
  <c r="F162" i="55"/>
  <c r="D162" i="55"/>
  <c r="C162" i="55"/>
  <c r="L161" i="55"/>
  <c r="J161" i="55"/>
  <c r="H161" i="55"/>
  <c r="F161" i="55"/>
  <c r="D161" i="55"/>
  <c r="C161" i="55"/>
  <c r="H160" i="55"/>
  <c r="F160" i="55"/>
  <c r="D160" i="55"/>
  <c r="C160" i="55"/>
  <c r="L159" i="55"/>
  <c r="J159" i="55"/>
  <c r="H159" i="55"/>
  <c r="F159" i="55"/>
  <c r="D159" i="55"/>
  <c r="C159" i="55"/>
  <c r="L158" i="55"/>
  <c r="J158" i="55"/>
  <c r="H158" i="55"/>
  <c r="F158" i="55"/>
  <c r="D158" i="55"/>
  <c r="C158" i="55"/>
  <c r="H157" i="55"/>
  <c r="F157" i="55"/>
  <c r="D157" i="55"/>
  <c r="C157" i="55"/>
  <c r="B152" i="55"/>
  <c r="B153" i="55" s="1"/>
  <c r="B151" i="55"/>
  <c r="M149" i="55"/>
  <c r="K149" i="55"/>
  <c r="I149" i="55"/>
  <c r="G149" i="55"/>
  <c r="E149" i="55"/>
  <c r="C149" i="55"/>
  <c r="B149" i="55"/>
  <c r="M148" i="55"/>
  <c r="K148" i="55"/>
  <c r="I148" i="55"/>
  <c r="G148" i="55"/>
  <c r="E148" i="55"/>
  <c r="C148" i="55"/>
  <c r="B148" i="55"/>
  <c r="M147" i="55"/>
  <c r="K147" i="55"/>
  <c r="I147" i="55"/>
  <c r="G147" i="55"/>
  <c r="E147" i="55"/>
  <c r="C147" i="55"/>
  <c r="B147" i="55"/>
  <c r="M146" i="55"/>
  <c r="K146" i="55"/>
  <c r="I146" i="55"/>
  <c r="G146" i="55"/>
  <c r="E146" i="55"/>
  <c r="C146" i="55"/>
  <c r="B146" i="55"/>
  <c r="M145" i="55"/>
  <c r="K145" i="55"/>
  <c r="I145" i="55"/>
  <c r="G145" i="55"/>
  <c r="E145" i="55"/>
  <c r="C145" i="55"/>
  <c r="B145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M143" i="55"/>
  <c r="K143" i="55"/>
  <c r="I143" i="55"/>
  <c r="G143" i="55"/>
  <c r="E143" i="55"/>
  <c r="C143" i="55"/>
  <c r="B143" i="55"/>
  <c r="M142" i="55"/>
  <c r="K142" i="55"/>
  <c r="I142" i="55"/>
  <c r="G142" i="55"/>
  <c r="E142" i="55"/>
  <c r="C142" i="55"/>
  <c r="B142" i="55"/>
  <c r="N140" i="55"/>
  <c r="L140" i="55"/>
  <c r="J140" i="55"/>
  <c r="H140" i="55"/>
  <c r="F140" i="55"/>
  <c r="D140" i="55"/>
  <c r="C140" i="55"/>
  <c r="B140" i="55"/>
  <c r="D139" i="55"/>
  <c r="C139" i="55"/>
  <c r="B139" i="55"/>
  <c r="L138" i="55"/>
  <c r="J138" i="55"/>
  <c r="H138" i="55"/>
  <c r="F138" i="55"/>
  <c r="D138" i="55"/>
  <c r="C138" i="55"/>
  <c r="L137" i="55"/>
  <c r="J137" i="55"/>
  <c r="H137" i="55"/>
  <c r="F137" i="55"/>
  <c r="D137" i="55"/>
  <c r="C137" i="55"/>
  <c r="F136" i="55"/>
  <c r="D136" i="55"/>
  <c r="C136" i="55"/>
  <c r="L135" i="55"/>
  <c r="J135" i="55"/>
  <c r="H135" i="55"/>
  <c r="F135" i="55"/>
  <c r="D135" i="55"/>
  <c r="C135" i="55"/>
  <c r="N134" i="55"/>
  <c r="L134" i="55"/>
  <c r="J134" i="55"/>
  <c r="H134" i="55"/>
  <c r="F134" i="55"/>
  <c r="D134" i="55"/>
  <c r="C134" i="55"/>
  <c r="H133" i="55"/>
  <c r="F133" i="55"/>
  <c r="D133" i="55"/>
  <c r="C133" i="55"/>
  <c r="L132" i="55"/>
  <c r="J132" i="55"/>
  <c r="H132" i="55"/>
  <c r="F132" i="55"/>
  <c r="D132" i="55"/>
  <c r="C132" i="55"/>
  <c r="L131" i="55"/>
  <c r="J131" i="55"/>
  <c r="H131" i="55"/>
  <c r="F131" i="55"/>
  <c r="D131" i="55"/>
  <c r="C131" i="55"/>
  <c r="F130" i="55"/>
  <c r="D130" i="55"/>
  <c r="C130" i="55"/>
  <c r="L129" i="55"/>
  <c r="J129" i="55"/>
  <c r="H129" i="55"/>
  <c r="F129" i="55"/>
  <c r="D129" i="55"/>
  <c r="C129" i="55"/>
  <c r="L128" i="55"/>
  <c r="J128" i="55"/>
  <c r="H128" i="55"/>
  <c r="F128" i="55"/>
  <c r="D128" i="55"/>
  <c r="C128" i="55"/>
  <c r="H127" i="55"/>
  <c r="F127" i="55"/>
  <c r="D127" i="55"/>
  <c r="C127" i="55"/>
  <c r="B122" i="55"/>
  <c r="B123" i="55"/>
  <c r="B121" i="55"/>
  <c r="M119" i="55"/>
  <c r="K119" i="55"/>
  <c r="I119" i="55"/>
  <c r="G119" i="55"/>
  <c r="E119" i="55"/>
  <c r="C119" i="55"/>
  <c r="B119" i="55"/>
  <c r="M118" i="55"/>
  <c r="K118" i="55"/>
  <c r="I118" i="55"/>
  <c r="G118" i="55"/>
  <c r="E118" i="55"/>
  <c r="C118" i="55"/>
  <c r="B118" i="55"/>
  <c r="M117" i="55"/>
  <c r="K117" i="55"/>
  <c r="I117" i="55"/>
  <c r="G117" i="55"/>
  <c r="E117" i="55"/>
  <c r="C117" i="55"/>
  <c r="B117" i="55"/>
  <c r="M116" i="55"/>
  <c r="K116" i="55"/>
  <c r="I116" i="55"/>
  <c r="G116" i="55"/>
  <c r="E116" i="55"/>
  <c r="C116" i="55"/>
  <c r="B116" i="55"/>
  <c r="M115" i="55"/>
  <c r="K115" i="55"/>
  <c r="I115" i="55"/>
  <c r="G115" i="55"/>
  <c r="E115" i="55"/>
  <c r="C115" i="55"/>
  <c r="B115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M113" i="55"/>
  <c r="K113" i="55"/>
  <c r="I113" i="55"/>
  <c r="G113" i="55"/>
  <c r="E113" i="55"/>
  <c r="C113" i="55"/>
  <c r="B113" i="55"/>
  <c r="M112" i="55"/>
  <c r="K112" i="55"/>
  <c r="I112" i="55"/>
  <c r="G112" i="55"/>
  <c r="E112" i="55"/>
  <c r="C112" i="55"/>
  <c r="B112" i="55"/>
  <c r="N110" i="55"/>
  <c r="L110" i="55"/>
  <c r="J110" i="55"/>
  <c r="H110" i="55"/>
  <c r="F110" i="55"/>
  <c r="D110" i="55"/>
  <c r="C110" i="55"/>
  <c r="B110" i="55"/>
  <c r="C109" i="55"/>
  <c r="B109" i="55"/>
  <c r="L108" i="55"/>
  <c r="J108" i="55"/>
  <c r="H108" i="55"/>
  <c r="F108" i="55"/>
  <c r="D108" i="55"/>
  <c r="C108" i="55"/>
  <c r="L107" i="55"/>
  <c r="J107" i="55"/>
  <c r="H107" i="55"/>
  <c r="F107" i="55"/>
  <c r="D107" i="55"/>
  <c r="C107" i="55"/>
  <c r="F106" i="55"/>
  <c r="D106" i="55"/>
  <c r="C106" i="55"/>
  <c r="L105" i="55"/>
  <c r="J105" i="55"/>
  <c r="H105" i="55"/>
  <c r="F105" i="55"/>
  <c r="D105" i="55"/>
  <c r="C105" i="55"/>
  <c r="L104" i="55"/>
  <c r="J104" i="55"/>
  <c r="H104" i="55"/>
  <c r="F104" i="55"/>
  <c r="D104" i="55"/>
  <c r="C104" i="55"/>
  <c r="H103" i="55"/>
  <c r="F103" i="55"/>
  <c r="D103" i="55"/>
  <c r="C103" i="55"/>
  <c r="L102" i="55"/>
  <c r="J102" i="55"/>
  <c r="H102" i="55"/>
  <c r="F102" i="55"/>
  <c r="D102" i="55"/>
  <c r="C102" i="55"/>
  <c r="L101" i="55"/>
  <c r="J101" i="55"/>
  <c r="H101" i="55"/>
  <c r="F101" i="55"/>
  <c r="D101" i="55"/>
  <c r="C101" i="55"/>
  <c r="F100" i="55"/>
  <c r="D100" i="55"/>
  <c r="C100" i="55"/>
  <c r="L99" i="55"/>
  <c r="J99" i="55"/>
  <c r="H99" i="55"/>
  <c r="F99" i="55"/>
  <c r="D99" i="55"/>
  <c r="C99" i="55"/>
  <c r="L98" i="55"/>
  <c r="J98" i="55"/>
  <c r="H98" i="55"/>
  <c r="F98" i="55"/>
  <c r="D98" i="55"/>
  <c r="C98" i="55"/>
  <c r="H97" i="55"/>
  <c r="F97" i="55"/>
  <c r="D97" i="55"/>
  <c r="C97" i="55"/>
  <c r="B92" i="55"/>
  <c r="B93" i="55" s="1"/>
  <c r="B91" i="55"/>
  <c r="M89" i="55"/>
  <c r="K89" i="55"/>
  <c r="I89" i="55"/>
  <c r="G89" i="55"/>
  <c r="E89" i="55"/>
  <c r="C89" i="55"/>
  <c r="B89" i="55"/>
  <c r="M88" i="55"/>
  <c r="K88" i="55"/>
  <c r="I88" i="55"/>
  <c r="G88" i="55"/>
  <c r="E88" i="55"/>
  <c r="C88" i="55"/>
  <c r="B88" i="55"/>
  <c r="M87" i="55"/>
  <c r="K87" i="55"/>
  <c r="I87" i="55"/>
  <c r="G87" i="55"/>
  <c r="E87" i="55"/>
  <c r="C87" i="55"/>
  <c r="B87" i="55"/>
  <c r="M86" i="55"/>
  <c r="K86" i="55"/>
  <c r="I86" i="55"/>
  <c r="G86" i="55"/>
  <c r="E86" i="55"/>
  <c r="C86" i="55"/>
  <c r="B86" i="55"/>
  <c r="M85" i="55"/>
  <c r="K85" i="55"/>
  <c r="I85" i="55"/>
  <c r="G85" i="55"/>
  <c r="E85" i="55"/>
  <c r="C85" i="55"/>
  <c r="B85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M83" i="55"/>
  <c r="K83" i="55"/>
  <c r="I83" i="55"/>
  <c r="G83" i="55"/>
  <c r="E83" i="55"/>
  <c r="C83" i="55"/>
  <c r="B83" i="55"/>
  <c r="M82" i="55"/>
  <c r="K82" i="55"/>
  <c r="I82" i="55"/>
  <c r="G82" i="55"/>
  <c r="E82" i="55"/>
  <c r="C82" i="55"/>
  <c r="B82" i="55"/>
  <c r="N80" i="55"/>
  <c r="L80" i="55"/>
  <c r="J80" i="55"/>
  <c r="H80" i="55"/>
  <c r="F80" i="55"/>
  <c r="D80" i="55"/>
  <c r="C80" i="55"/>
  <c r="B80" i="55"/>
  <c r="C79" i="55"/>
  <c r="B79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F76" i="55"/>
  <c r="D76" i="55"/>
  <c r="C76" i="55"/>
  <c r="L75" i="55"/>
  <c r="J75" i="55"/>
  <c r="H75" i="55"/>
  <c r="F75" i="55"/>
  <c r="D75" i="55"/>
  <c r="C75" i="55"/>
  <c r="L74" i="55"/>
  <c r="J74" i="55"/>
  <c r="H74" i="55"/>
  <c r="F74" i="55"/>
  <c r="D74" i="55"/>
  <c r="C74" i="55"/>
  <c r="H73" i="55"/>
  <c r="F73" i="55"/>
  <c r="D73" i="55"/>
  <c r="C73" i="55"/>
  <c r="L72" i="55"/>
  <c r="J72" i="55"/>
  <c r="H72" i="55"/>
  <c r="F72" i="55"/>
  <c r="D72" i="55"/>
  <c r="C72" i="55"/>
  <c r="L71" i="55"/>
  <c r="J71" i="55"/>
  <c r="H71" i="55"/>
  <c r="F71" i="55"/>
  <c r="D71" i="55"/>
  <c r="C71" i="55"/>
  <c r="F70" i="55"/>
  <c r="D70" i="55"/>
  <c r="C70" i="55"/>
  <c r="L69" i="55"/>
  <c r="J69" i="55"/>
  <c r="H69" i="55"/>
  <c r="F69" i="55"/>
  <c r="D69" i="55"/>
  <c r="C69" i="55"/>
  <c r="L68" i="55"/>
  <c r="J68" i="55"/>
  <c r="H68" i="55"/>
  <c r="F68" i="55"/>
  <c r="D68" i="55"/>
  <c r="C68" i="55"/>
  <c r="H67" i="55"/>
  <c r="F67" i="55"/>
  <c r="D67" i="55"/>
  <c r="C67" i="55"/>
  <c r="B62" i="55"/>
  <c r="B63" i="55" s="1"/>
  <c r="B61" i="55"/>
  <c r="M59" i="55"/>
  <c r="K59" i="55"/>
  <c r="I59" i="55"/>
  <c r="G59" i="55"/>
  <c r="E59" i="55"/>
  <c r="C59" i="55"/>
  <c r="B59" i="55"/>
  <c r="M58" i="55"/>
  <c r="K58" i="55"/>
  <c r="I58" i="55"/>
  <c r="G58" i="55"/>
  <c r="E58" i="55"/>
  <c r="C58" i="55"/>
  <c r="B58" i="55"/>
  <c r="M57" i="55"/>
  <c r="K57" i="55"/>
  <c r="I57" i="55"/>
  <c r="G57" i="55"/>
  <c r="E57" i="55"/>
  <c r="C57" i="55"/>
  <c r="B57" i="55"/>
  <c r="M56" i="55"/>
  <c r="K56" i="55"/>
  <c r="I56" i="55"/>
  <c r="G56" i="55"/>
  <c r="E56" i="55"/>
  <c r="C56" i="55"/>
  <c r="B56" i="55"/>
  <c r="M55" i="55"/>
  <c r="K55" i="55"/>
  <c r="I55" i="55"/>
  <c r="G55" i="55"/>
  <c r="E55" i="55"/>
  <c r="C55" i="55"/>
  <c r="B55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M53" i="55"/>
  <c r="K53" i="55"/>
  <c r="I53" i="55"/>
  <c r="G53" i="55"/>
  <c r="E53" i="55"/>
  <c r="C53" i="55"/>
  <c r="B53" i="55"/>
  <c r="M52" i="55"/>
  <c r="K52" i="55"/>
  <c r="I52" i="55"/>
  <c r="G52" i="55"/>
  <c r="E52" i="55"/>
  <c r="C52" i="55"/>
  <c r="B52" i="55"/>
  <c r="N50" i="55"/>
  <c r="L50" i="55"/>
  <c r="J50" i="55"/>
  <c r="H50" i="55"/>
  <c r="F50" i="55"/>
  <c r="D50" i="55"/>
  <c r="C50" i="55"/>
  <c r="B50" i="55"/>
  <c r="C49" i="55"/>
  <c r="B49" i="55"/>
  <c r="L48" i="55"/>
  <c r="J48" i="55"/>
  <c r="H48" i="55"/>
  <c r="F48" i="55"/>
  <c r="D48" i="55"/>
  <c r="C48" i="55"/>
  <c r="L47" i="55"/>
  <c r="J47" i="55"/>
  <c r="H47" i="55"/>
  <c r="F47" i="55"/>
  <c r="D47" i="55"/>
  <c r="C47" i="55"/>
  <c r="F46" i="55"/>
  <c r="D46" i="55"/>
  <c r="C46" i="55"/>
  <c r="L45" i="55"/>
  <c r="J45" i="55"/>
  <c r="H45" i="55"/>
  <c r="F45" i="55"/>
  <c r="D45" i="55"/>
  <c r="C45" i="55"/>
  <c r="L44" i="55"/>
  <c r="J44" i="55"/>
  <c r="H44" i="55"/>
  <c r="F44" i="55"/>
  <c r="D44" i="55"/>
  <c r="C44" i="55"/>
  <c r="H43" i="55"/>
  <c r="F43" i="55"/>
  <c r="D43" i="55"/>
  <c r="C43" i="55"/>
  <c r="L42" i="55"/>
  <c r="J42" i="55"/>
  <c r="H42" i="55"/>
  <c r="F42" i="55"/>
  <c r="D42" i="55"/>
  <c r="C42" i="55"/>
  <c r="L41" i="55"/>
  <c r="J41" i="55"/>
  <c r="H41" i="55"/>
  <c r="F41" i="55"/>
  <c r="D41" i="55"/>
  <c r="C41" i="55"/>
  <c r="F40" i="55"/>
  <c r="D40" i="55"/>
  <c r="C40" i="55"/>
  <c r="L39" i="55"/>
  <c r="J39" i="55"/>
  <c r="H39" i="55"/>
  <c r="F39" i="55"/>
  <c r="D39" i="55"/>
  <c r="C39" i="55"/>
  <c r="N38" i="55"/>
  <c r="L38" i="55"/>
  <c r="J38" i="55"/>
  <c r="H38" i="55"/>
  <c r="F38" i="55"/>
  <c r="D38" i="55"/>
  <c r="C38" i="55"/>
  <c r="H37" i="55"/>
  <c r="F37" i="55"/>
  <c r="D37" i="55"/>
  <c r="C37" i="55"/>
  <c r="B32" i="55"/>
  <c r="B33" i="55"/>
  <c r="B31" i="55"/>
  <c r="M29" i="55"/>
  <c r="K29" i="55"/>
  <c r="I29" i="55"/>
  <c r="G29" i="55"/>
  <c r="E29" i="55"/>
  <c r="C29" i="55"/>
  <c r="B29" i="55"/>
  <c r="M28" i="55"/>
  <c r="K28" i="55"/>
  <c r="I28" i="55"/>
  <c r="G28" i="55"/>
  <c r="E28" i="55"/>
  <c r="C28" i="55"/>
  <c r="B28" i="55"/>
  <c r="M27" i="55"/>
  <c r="K27" i="55"/>
  <c r="I27" i="55"/>
  <c r="G27" i="55"/>
  <c r="E27" i="55"/>
  <c r="C27" i="55"/>
  <c r="B27" i="55"/>
  <c r="M26" i="55"/>
  <c r="K26" i="55"/>
  <c r="I26" i="55"/>
  <c r="G26" i="55"/>
  <c r="E26" i="55"/>
  <c r="C26" i="55"/>
  <c r="B26" i="55"/>
  <c r="M25" i="55"/>
  <c r="K25" i="55"/>
  <c r="I25" i="55"/>
  <c r="G25" i="55"/>
  <c r="E25" i="55"/>
  <c r="C25" i="55"/>
  <c r="B25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M23" i="55"/>
  <c r="K23" i="55"/>
  <c r="I23" i="55"/>
  <c r="G23" i="55"/>
  <c r="E23" i="55"/>
  <c r="C23" i="55"/>
  <c r="B23" i="55"/>
  <c r="M22" i="55"/>
  <c r="K22" i="55"/>
  <c r="I22" i="55"/>
  <c r="G22" i="55"/>
  <c r="E22" i="55"/>
  <c r="C22" i="55"/>
  <c r="B22" i="55"/>
  <c r="N20" i="55"/>
  <c r="L20" i="55"/>
  <c r="J20" i="55"/>
  <c r="H20" i="55"/>
  <c r="F20" i="55"/>
  <c r="D20" i="55"/>
  <c r="C20" i="55"/>
  <c r="B20" i="55"/>
  <c r="C19" i="55"/>
  <c r="B19" i="55"/>
  <c r="L18" i="55"/>
  <c r="J18" i="55"/>
  <c r="H18" i="55"/>
  <c r="F18" i="55"/>
  <c r="D18" i="55"/>
  <c r="C18" i="55"/>
  <c r="N17" i="55"/>
  <c r="L17" i="55"/>
  <c r="J17" i="55"/>
  <c r="H17" i="55"/>
  <c r="F17" i="55"/>
  <c r="D17" i="55"/>
  <c r="C17" i="55"/>
  <c r="F16" i="55"/>
  <c r="D16" i="55"/>
  <c r="C16" i="55"/>
  <c r="L15" i="55"/>
  <c r="J15" i="55"/>
  <c r="H15" i="55"/>
  <c r="F15" i="55"/>
  <c r="D15" i="55"/>
  <c r="C15" i="55"/>
  <c r="L14" i="55"/>
  <c r="J14" i="55"/>
  <c r="H14" i="55"/>
  <c r="F14" i="55"/>
  <c r="D14" i="55"/>
  <c r="C14" i="55"/>
  <c r="H13" i="55"/>
  <c r="F13" i="55"/>
  <c r="D13" i="55"/>
  <c r="C13" i="55"/>
  <c r="N12" i="55"/>
  <c r="L12" i="55"/>
  <c r="J12" i="55"/>
  <c r="H12" i="55"/>
  <c r="F12" i="55"/>
  <c r="D12" i="55"/>
  <c r="C12" i="55"/>
  <c r="L11" i="55"/>
  <c r="J11" i="55"/>
  <c r="H11" i="55"/>
  <c r="F11" i="55"/>
  <c r="D11" i="55"/>
  <c r="C11" i="55"/>
  <c r="F10" i="55"/>
  <c r="D10" i="55"/>
  <c r="C10" i="55"/>
  <c r="N9" i="55"/>
  <c r="L9" i="55"/>
  <c r="J9" i="55"/>
  <c r="H9" i="55"/>
  <c r="F9" i="55"/>
  <c r="D9" i="55"/>
  <c r="C9" i="55"/>
  <c r="L8" i="55"/>
  <c r="J8" i="55"/>
  <c r="H8" i="55"/>
  <c r="F8" i="55"/>
  <c r="D8" i="55"/>
  <c r="C8" i="55"/>
  <c r="H7" i="55"/>
  <c r="F7" i="55"/>
  <c r="D7" i="55"/>
  <c r="C7" i="55"/>
  <c r="S3" i="55"/>
  <c r="BQ7" i="55"/>
  <c r="BQ8" i="55" s="1"/>
  <c r="BQ9" i="55" s="1"/>
  <c r="BQ10" i="55" s="1"/>
  <c r="BQ11" i="55" s="1"/>
  <c r="BQ12" i="55" s="1"/>
  <c r="BQ13" i="55" s="1"/>
  <c r="BQ14" i="55" s="1"/>
  <c r="BQ15" i="55" s="1"/>
  <c r="BQ16" i="55" s="1"/>
  <c r="BQ17" i="55" s="1"/>
  <c r="BQ18" i="55" s="1"/>
  <c r="B2" i="55"/>
  <c r="D1" i="55"/>
  <c r="B1" i="55"/>
  <c r="M179" i="53"/>
  <c r="K179" i="53"/>
  <c r="I179" i="53"/>
  <c r="G179" i="53"/>
  <c r="E179" i="53"/>
  <c r="C179" i="53"/>
  <c r="B179" i="53"/>
  <c r="M178" i="53"/>
  <c r="K178" i="53"/>
  <c r="I178" i="53"/>
  <c r="G178" i="53"/>
  <c r="E178" i="53"/>
  <c r="C178" i="53"/>
  <c r="B178" i="53"/>
  <c r="M177" i="53"/>
  <c r="K177" i="53"/>
  <c r="I177" i="53"/>
  <c r="G177" i="53"/>
  <c r="E177" i="53"/>
  <c r="C177" i="53"/>
  <c r="B177" i="53"/>
  <c r="M176" i="53"/>
  <c r="K176" i="53"/>
  <c r="I176" i="53"/>
  <c r="G176" i="53"/>
  <c r="E176" i="53"/>
  <c r="C176" i="53"/>
  <c r="B176" i="53"/>
  <c r="M175" i="53"/>
  <c r="K175" i="53"/>
  <c r="I175" i="53"/>
  <c r="G175" i="53"/>
  <c r="E175" i="53"/>
  <c r="C175" i="53"/>
  <c r="B175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M173" i="53"/>
  <c r="K173" i="53"/>
  <c r="I173" i="53"/>
  <c r="G173" i="53"/>
  <c r="E173" i="53"/>
  <c r="C173" i="53"/>
  <c r="B173" i="53"/>
  <c r="M172" i="53"/>
  <c r="K172" i="53"/>
  <c r="I172" i="53"/>
  <c r="G172" i="53"/>
  <c r="E172" i="53"/>
  <c r="C172" i="53"/>
  <c r="B172" i="53"/>
  <c r="N170" i="53"/>
  <c r="L170" i="53"/>
  <c r="J170" i="53"/>
  <c r="H170" i="53"/>
  <c r="F170" i="53"/>
  <c r="D170" i="53"/>
  <c r="C170" i="53"/>
  <c r="B170" i="53"/>
  <c r="C169" i="53"/>
  <c r="B169" i="53"/>
  <c r="L168" i="53"/>
  <c r="J168" i="53"/>
  <c r="H168" i="53"/>
  <c r="F168" i="53"/>
  <c r="D168" i="53"/>
  <c r="C168" i="53"/>
  <c r="L167" i="53"/>
  <c r="J167" i="53"/>
  <c r="H167" i="53"/>
  <c r="F167" i="53"/>
  <c r="D167" i="53"/>
  <c r="C167" i="53"/>
  <c r="F166" i="53"/>
  <c r="D166" i="53"/>
  <c r="C166" i="53"/>
  <c r="L165" i="53"/>
  <c r="J165" i="53"/>
  <c r="H165" i="53"/>
  <c r="F165" i="53"/>
  <c r="D165" i="53"/>
  <c r="C165" i="53"/>
  <c r="L164" i="53"/>
  <c r="J164" i="53"/>
  <c r="H164" i="53"/>
  <c r="F164" i="53"/>
  <c r="D164" i="53"/>
  <c r="C164" i="53"/>
  <c r="H163" i="53"/>
  <c r="F163" i="53"/>
  <c r="D163" i="53"/>
  <c r="C163" i="53"/>
  <c r="L162" i="53"/>
  <c r="J162" i="53"/>
  <c r="H162" i="53"/>
  <c r="F162" i="53"/>
  <c r="D162" i="53"/>
  <c r="C162" i="53"/>
  <c r="N161" i="53"/>
  <c r="L161" i="53"/>
  <c r="J161" i="53"/>
  <c r="H161" i="53"/>
  <c r="F161" i="53"/>
  <c r="D161" i="53"/>
  <c r="C161" i="53"/>
  <c r="F160" i="53"/>
  <c r="D160" i="53"/>
  <c r="C160" i="53"/>
  <c r="L159" i="53"/>
  <c r="J159" i="53"/>
  <c r="H159" i="53"/>
  <c r="F159" i="53"/>
  <c r="D159" i="53"/>
  <c r="C159" i="53"/>
  <c r="L158" i="53"/>
  <c r="J158" i="53"/>
  <c r="H158" i="53"/>
  <c r="F158" i="53"/>
  <c r="D158" i="53"/>
  <c r="C158" i="53"/>
  <c r="H157" i="53"/>
  <c r="F157" i="53"/>
  <c r="D157" i="53"/>
  <c r="C157" i="53"/>
  <c r="B152" i="53"/>
  <c r="B153" i="53" s="1"/>
  <c r="B151" i="53"/>
  <c r="M149" i="53"/>
  <c r="K149" i="53"/>
  <c r="I149" i="53"/>
  <c r="G149" i="53"/>
  <c r="E149" i="53"/>
  <c r="C149" i="53"/>
  <c r="B149" i="53"/>
  <c r="M148" i="53"/>
  <c r="K148" i="53"/>
  <c r="I148" i="53"/>
  <c r="G148" i="53"/>
  <c r="E148" i="53"/>
  <c r="C148" i="53"/>
  <c r="B148" i="53"/>
  <c r="M147" i="53"/>
  <c r="K147" i="53"/>
  <c r="I147" i="53"/>
  <c r="G147" i="53"/>
  <c r="E147" i="53"/>
  <c r="C147" i="53"/>
  <c r="B147" i="53"/>
  <c r="M146" i="53"/>
  <c r="K146" i="53"/>
  <c r="I146" i="53"/>
  <c r="G146" i="53"/>
  <c r="E146" i="53"/>
  <c r="C146" i="53"/>
  <c r="B146" i="53"/>
  <c r="M145" i="53"/>
  <c r="K145" i="53"/>
  <c r="I145" i="53"/>
  <c r="G145" i="53"/>
  <c r="E145" i="53"/>
  <c r="C145" i="53"/>
  <c r="B145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M143" i="53"/>
  <c r="K143" i="53"/>
  <c r="I143" i="53"/>
  <c r="G143" i="53"/>
  <c r="E143" i="53"/>
  <c r="C143" i="53"/>
  <c r="B143" i="53"/>
  <c r="M142" i="53"/>
  <c r="K142" i="53"/>
  <c r="I142" i="53"/>
  <c r="G142" i="53"/>
  <c r="E142" i="53"/>
  <c r="C142" i="53"/>
  <c r="B142" i="53"/>
  <c r="N140" i="53"/>
  <c r="L140" i="53"/>
  <c r="J140" i="53"/>
  <c r="H140" i="53"/>
  <c r="F140" i="53"/>
  <c r="D140" i="53"/>
  <c r="C140" i="53"/>
  <c r="B140" i="53"/>
  <c r="C139" i="53"/>
  <c r="B139" i="53"/>
  <c r="L138" i="53"/>
  <c r="J138" i="53"/>
  <c r="H138" i="53"/>
  <c r="F138" i="53"/>
  <c r="D138" i="53"/>
  <c r="C138" i="53"/>
  <c r="N137" i="53"/>
  <c r="L137" i="53"/>
  <c r="J137" i="53"/>
  <c r="H137" i="53"/>
  <c r="F137" i="53"/>
  <c r="D137" i="53"/>
  <c r="C137" i="53"/>
  <c r="F136" i="53"/>
  <c r="D136" i="53"/>
  <c r="C136" i="53"/>
  <c r="L135" i="53"/>
  <c r="J135" i="53"/>
  <c r="H135" i="53"/>
  <c r="F135" i="53"/>
  <c r="D135" i="53"/>
  <c r="C135" i="53"/>
  <c r="L134" i="53"/>
  <c r="J134" i="53"/>
  <c r="H134" i="53"/>
  <c r="F134" i="53"/>
  <c r="D134" i="53"/>
  <c r="C134" i="53"/>
  <c r="H133" i="53"/>
  <c r="F133" i="53"/>
  <c r="D133" i="53"/>
  <c r="C133" i="53"/>
  <c r="L132" i="53"/>
  <c r="J132" i="53"/>
  <c r="H132" i="53"/>
  <c r="F132" i="53"/>
  <c r="D132" i="53"/>
  <c r="C132" i="53"/>
  <c r="L131" i="53"/>
  <c r="J131" i="53"/>
  <c r="H131" i="53"/>
  <c r="F131" i="53"/>
  <c r="D131" i="53"/>
  <c r="C131" i="53"/>
  <c r="H130" i="53"/>
  <c r="F130" i="53"/>
  <c r="D130" i="53"/>
  <c r="C130" i="53"/>
  <c r="N129" i="53"/>
  <c r="L129" i="53"/>
  <c r="J129" i="53"/>
  <c r="H129" i="53"/>
  <c r="F129" i="53"/>
  <c r="D129" i="53"/>
  <c r="C129" i="53"/>
  <c r="L128" i="53"/>
  <c r="J128" i="53"/>
  <c r="H128" i="53"/>
  <c r="F128" i="53"/>
  <c r="D128" i="53"/>
  <c r="C128" i="53"/>
  <c r="H127" i="53"/>
  <c r="F127" i="53"/>
  <c r="D127" i="53"/>
  <c r="C127" i="53"/>
  <c r="B122" i="53"/>
  <c r="B123" i="53" s="1"/>
  <c r="B121" i="53"/>
  <c r="M119" i="53"/>
  <c r="K119" i="53"/>
  <c r="I119" i="53"/>
  <c r="G119" i="53"/>
  <c r="E119" i="53"/>
  <c r="C119" i="53"/>
  <c r="B119" i="53"/>
  <c r="M118" i="53"/>
  <c r="K118" i="53"/>
  <c r="I118" i="53"/>
  <c r="G118" i="53"/>
  <c r="E118" i="53"/>
  <c r="C118" i="53"/>
  <c r="B118" i="53"/>
  <c r="M117" i="53"/>
  <c r="K117" i="53"/>
  <c r="I117" i="53"/>
  <c r="G117" i="53"/>
  <c r="E117" i="53"/>
  <c r="C117" i="53"/>
  <c r="B117" i="53"/>
  <c r="M116" i="53"/>
  <c r="K116" i="53"/>
  <c r="I116" i="53"/>
  <c r="G116" i="53"/>
  <c r="E116" i="53"/>
  <c r="C116" i="53"/>
  <c r="B116" i="53"/>
  <c r="M115" i="53"/>
  <c r="K115" i="53"/>
  <c r="I115" i="53"/>
  <c r="G115" i="53"/>
  <c r="E115" i="53"/>
  <c r="C115" i="53"/>
  <c r="B115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M113" i="53"/>
  <c r="K113" i="53"/>
  <c r="I113" i="53"/>
  <c r="G113" i="53"/>
  <c r="E113" i="53"/>
  <c r="C113" i="53"/>
  <c r="B113" i="53"/>
  <c r="M112" i="53"/>
  <c r="K112" i="53"/>
  <c r="I112" i="53"/>
  <c r="G112" i="53"/>
  <c r="E112" i="53"/>
  <c r="C112" i="53"/>
  <c r="B112" i="53"/>
  <c r="N110" i="53"/>
  <c r="L110" i="53"/>
  <c r="J110" i="53"/>
  <c r="H110" i="53"/>
  <c r="F110" i="53"/>
  <c r="D110" i="53"/>
  <c r="C110" i="53"/>
  <c r="B110" i="53"/>
  <c r="C109" i="53"/>
  <c r="B109" i="53"/>
  <c r="L108" i="53"/>
  <c r="J108" i="53"/>
  <c r="H108" i="53"/>
  <c r="F108" i="53"/>
  <c r="D108" i="53"/>
  <c r="C108" i="53"/>
  <c r="L107" i="53"/>
  <c r="J107" i="53"/>
  <c r="H107" i="53"/>
  <c r="F107" i="53"/>
  <c r="D107" i="53"/>
  <c r="C107" i="53"/>
  <c r="F106" i="53"/>
  <c r="D106" i="53"/>
  <c r="C106" i="53"/>
  <c r="L105" i="53"/>
  <c r="J105" i="53"/>
  <c r="H105" i="53"/>
  <c r="F105" i="53"/>
  <c r="D105" i="53"/>
  <c r="C105" i="53"/>
  <c r="L104" i="53"/>
  <c r="J104" i="53"/>
  <c r="H104" i="53"/>
  <c r="F104" i="53"/>
  <c r="D104" i="53"/>
  <c r="C104" i="53"/>
  <c r="H103" i="53"/>
  <c r="F103" i="53"/>
  <c r="D103" i="53"/>
  <c r="C103" i="53"/>
  <c r="L102" i="53"/>
  <c r="J102" i="53"/>
  <c r="H102" i="53"/>
  <c r="F102" i="53"/>
  <c r="D102" i="53"/>
  <c r="C102" i="53"/>
  <c r="L101" i="53"/>
  <c r="J101" i="53"/>
  <c r="H101" i="53"/>
  <c r="F101" i="53"/>
  <c r="D101" i="53"/>
  <c r="C101" i="53"/>
  <c r="F100" i="53"/>
  <c r="D100" i="53"/>
  <c r="C100" i="53"/>
  <c r="L99" i="53"/>
  <c r="J99" i="53"/>
  <c r="H99" i="53"/>
  <c r="F99" i="53"/>
  <c r="D99" i="53"/>
  <c r="C99" i="53"/>
  <c r="L98" i="53"/>
  <c r="J98" i="53"/>
  <c r="H98" i="53"/>
  <c r="F98" i="53"/>
  <c r="D98" i="53"/>
  <c r="C98" i="53"/>
  <c r="H97" i="53"/>
  <c r="F97" i="53"/>
  <c r="D97" i="53"/>
  <c r="C97" i="53"/>
  <c r="B92" i="53"/>
  <c r="B93" i="53" s="1"/>
  <c r="B91" i="53"/>
  <c r="M89" i="53"/>
  <c r="K89" i="53"/>
  <c r="I89" i="53"/>
  <c r="G89" i="53"/>
  <c r="E89" i="53"/>
  <c r="C89" i="53"/>
  <c r="B89" i="53"/>
  <c r="M88" i="53"/>
  <c r="K88" i="53"/>
  <c r="I88" i="53"/>
  <c r="G88" i="53"/>
  <c r="E88" i="53"/>
  <c r="C88" i="53"/>
  <c r="B88" i="53"/>
  <c r="M87" i="53"/>
  <c r="K87" i="53"/>
  <c r="I87" i="53"/>
  <c r="G87" i="53"/>
  <c r="E87" i="53"/>
  <c r="C87" i="53"/>
  <c r="B87" i="53"/>
  <c r="M86" i="53"/>
  <c r="K86" i="53"/>
  <c r="I86" i="53"/>
  <c r="G86" i="53"/>
  <c r="E86" i="53"/>
  <c r="C86" i="53"/>
  <c r="B86" i="53"/>
  <c r="M85" i="53"/>
  <c r="K85" i="53"/>
  <c r="I85" i="53"/>
  <c r="G85" i="53"/>
  <c r="E85" i="53"/>
  <c r="C85" i="53"/>
  <c r="B85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M83" i="53"/>
  <c r="K83" i="53"/>
  <c r="I83" i="53"/>
  <c r="G83" i="53"/>
  <c r="E83" i="53"/>
  <c r="C83" i="53"/>
  <c r="B83" i="53"/>
  <c r="M82" i="53"/>
  <c r="K82" i="53"/>
  <c r="I82" i="53"/>
  <c r="G82" i="53"/>
  <c r="E82" i="53"/>
  <c r="C82" i="53"/>
  <c r="B82" i="53"/>
  <c r="N80" i="53"/>
  <c r="L80" i="53"/>
  <c r="J80" i="53"/>
  <c r="H80" i="53"/>
  <c r="F80" i="53"/>
  <c r="D80" i="53"/>
  <c r="C80" i="53"/>
  <c r="B80" i="53"/>
  <c r="F79" i="53"/>
  <c r="C79" i="53"/>
  <c r="B79" i="53"/>
  <c r="L78" i="53"/>
  <c r="J78" i="53"/>
  <c r="H78" i="53"/>
  <c r="F78" i="53"/>
  <c r="D78" i="53"/>
  <c r="C78" i="53"/>
  <c r="L77" i="53"/>
  <c r="J77" i="53"/>
  <c r="H77" i="53"/>
  <c r="F77" i="53"/>
  <c r="D77" i="53"/>
  <c r="C77" i="53"/>
  <c r="F76" i="53"/>
  <c r="D76" i="53"/>
  <c r="C76" i="53"/>
  <c r="L75" i="53"/>
  <c r="J75" i="53"/>
  <c r="H75" i="53"/>
  <c r="F75" i="53"/>
  <c r="D75" i="53"/>
  <c r="C75" i="53"/>
  <c r="L74" i="53"/>
  <c r="J74" i="53"/>
  <c r="H74" i="53"/>
  <c r="F74" i="53"/>
  <c r="D74" i="53"/>
  <c r="C74" i="53"/>
  <c r="H73" i="53"/>
  <c r="F73" i="53"/>
  <c r="D73" i="53"/>
  <c r="C73" i="53"/>
  <c r="L72" i="53"/>
  <c r="J72" i="53"/>
  <c r="H72" i="53"/>
  <c r="F72" i="53"/>
  <c r="D72" i="53"/>
  <c r="C72" i="53"/>
  <c r="L71" i="53"/>
  <c r="J71" i="53"/>
  <c r="H71" i="53"/>
  <c r="F71" i="53"/>
  <c r="D71" i="53"/>
  <c r="C71" i="53"/>
  <c r="H70" i="53"/>
  <c r="F70" i="53"/>
  <c r="D70" i="53"/>
  <c r="C70" i="53"/>
  <c r="L69" i="53"/>
  <c r="J69" i="53"/>
  <c r="H69" i="53"/>
  <c r="F69" i="53"/>
  <c r="D69" i="53"/>
  <c r="C69" i="53"/>
  <c r="N68" i="53"/>
  <c r="L68" i="53"/>
  <c r="J68" i="53"/>
  <c r="H68" i="53"/>
  <c r="F68" i="53"/>
  <c r="D68" i="53"/>
  <c r="C68" i="53"/>
  <c r="H67" i="53"/>
  <c r="F67" i="53"/>
  <c r="D67" i="53"/>
  <c r="C67" i="53"/>
  <c r="B62" i="53"/>
  <c r="B63" i="53" s="1"/>
  <c r="B61" i="53"/>
  <c r="M59" i="53"/>
  <c r="K59" i="53"/>
  <c r="I59" i="53"/>
  <c r="G59" i="53"/>
  <c r="E59" i="53"/>
  <c r="C59" i="53"/>
  <c r="B59" i="53"/>
  <c r="M58" i="53"/>
  <c r="K58" i="53"/>
  <c r="I58" i="53"/>
  <c r="G58" i="53"/>
  <c r="E58" i="53"/>
  <c r="C58" i="53"/>
  <c r="B58" i="53"/>
  <c r="M57" i="53"/>
  <c r="K57" i="53"/>
  <c r="I57" i="53"/>
  <c r="G57" i="53"/>
  <c r="E57" i="53"/>
  <c r="C57" i="53"/>
  <c r="B57" i="53"/>
  <c r="M56" i="53"/>
  <c r="K56" i="53"/>
  <c r="I56" i="53"/>
  <c r="G56" i="53"/>
  <c r="E56" i="53"/>
  <c r="C56" i="53"/>
  <c r="B56" i="53"/>
  <c r="M55" i="53"/>
  <c r="K55" i="53"/>
  <c r="I55" i="53"/>
  <c r="G55" i="53"/>
  <c r="E55" i="53"/>
  <c r="C55" i="53"/>
  <c r="B55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M53" i="53"/>
  <c r="K53" i="53"/>
  <c r="I53" i="53"/>
  <c r="G53" i="53"/>
  <c r="E53" i="53"/>
  <c r="C53" i="53"/>
  <c r="B53" i="53"/>
  <c r="M52" i="53"/>
  <c r="K52" i="53"/>
  <c r="I52" i="53"/>
  <c r="G52" i="53"/>
  <c r="E52" i="53"/>
  <c r="C52" i="53"/>
  <c r="B52" i="53"/>
  <c r="N50" i="53"/>
  <c r="L50" i="53"/>
  <c r="J50" i="53"/>
  <c r="H50" i="53"/>
  <c r="F50" i="53"/>
  <c r="D50" i="53"/>
  <c r="C50" i="53"/>
  <c r="B50" i="53"/>
  <c r="C49" i="53"/>
  <c r="B49" i="53"/>
  <c r="N48" i="53"/>
  <c r="L48" i="53"/>
  <c r="J48" i="53"/>
  <c r="H48" i="53"/>
  <c r="F48" i="53"/>
  <c r="D48" i="53"/>
  <c r="C48" i="53"/>
  <c r="L47" i="53"/>
  <c r="J47" i="53"/>
  <c r="H47" i="53"/>
  <c r="F47" i="53"/>
  <c r="D47" i="53"/>
  <c r="C47" i="53"/>
  <c r="F46" i="53"/>
  <c r="D46" i="53"/>
  <c r="C46" i="53"/>
  <c r="L45" i="53"/>
  <c r="J45" i="53"/>
  <c r="H45" i="53"/>
  <c r="F45" i="53"/>
  <c r="D45" i="53"/>
  <c r="C45" i="53"/>
  <c r="L44" i="53"/>
  <c r="J44" i="53"/>
  <c r="H44" i="53"/>
  <c r="F44" i="53"/>
  <c r="D44" i="53"/>
  <c r="C44" i="53"/>
  <c r="H43" i="53"/>
  <c r="F43" i="53"/>
  <c r="D43" i="53"/>
  <c r="C43" i="53"/>
  <c r="L42" i="53"/>
  <c r="J42" i="53"/>
  <c r="H42" i="53"/>
  <c r="F42" i="53"/>
  <c r="D42" i="53"/>
  <c r="C42" i="53"/>
  <c r="L41" i="53"/>
  <c r="J41" i="53"/>
  <c r="H41" i="53"/>
  <c r="F41" i="53"/>
  <c r="D41" i="53"/>
  <c r="C41" i="53"/>
  <c r="F40" i="53"/>
  <c r="D40" i="53"/>
  <c r="C40" i="53"/>
  <c r="L39" i="53"/>
  <c r="J39" i="53"/>
  <c r="H39" i="53"/>
  <c r="F39" i="53"/>
  <c r="D39" i="53"/>
  <c r="C39" i="53"/>
  <c r="L38" i="53"/>
  <c r="J38" i="53"/>
  <c r="H38" i="53"/>
  <c r="F38" i="53"/>
  <c r="D38" i="53"/>
  <c r="C38" i="53"/>
  <c r="H37" i="53"/>
  <c r="F37" i="53"/>
  <c r="D37" i="53"/>
  <c r="C37" i="53"/>
  <c r="B32" i="53"/>
  <c r="B33" i="53" s="1"/>
  <c r="B31" i="53"/>
  <c r="M29" i="53"/>
  <c r="K29" i="53"/>
  <c r="I29" i="53"/>
  <c r="G29" i="53"/>
  <c r="E29" i="53"/>
  <c r="C29" i="53"/>
  <c r="B29" i="53"/>
  <c r="M28" i="53"/>
  <c r="K28" i="53"/>
  <c r="I28" i="53"/>
  <c r="G28" i="53"/>
  <c r="E28" i="53"/>
  <c r="C28" i="53"/>
  <c r="B28" i="53"/>
  <c r="M27" i="53"/>
  <c r="K27" i="53"/>
  <c r="I27" i="53"/>
  <c r="G27" i="53"/>
  <c r="E27" i="53"/>
  <c r="C27" i="53"/>
  <c r="B27" i="53"/>
  <c r="M26" i="53"/>
  <c r="K26" i="53"/>
  <c r="I26" i="53"/>
  <c r="G26" i="53"/>
  <c r="E26" i="53"/>
  <c r="C26" i="53"/>
  <c r="B26" i="53"/>
  <c r="M25" i="53"/>
  <c r="K25" i="53"/>
  <c r="I25" i="53"/>
  <c r="G25" i="53"/>
  <c r="E25" i="53"/>
  <c r="C25" i="53"/>
  <c r="B25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M23" i="53"/>
  <c r="K23" i="53"/>
  <c r="I23" i="53"/>
  <c r="G23" i="53"/>
  <c r="E23" i="53"/>
  <c r="C23" i="53"/>
  <c r="B23" i="53"/>
  <c r="M22" i="53"/>
  <c r="K22" i="53"/>
  <c r="I22" i="53"/>
  <c r="G22" i="53"/>
  <c r="E22" i="53"/>
  <c r="C22" i="53"/>
  <c r="B22" i="53"/>
  <c r="N20" i="53"/>
  <c r="L20" i="53"/>
  <c r="J20" i="53"/>
  <c r="H20" i="53"/>
  <c r="F20" i="53"/>
  <c r="D20" i="53"/>
  <c r="C20" i="53"/>
  <c r="B20" i="53"/>
  <c r="B19" i="53"/>
  <c r="L18" i="53"/>
  <c r="J18" i="53"/>
  <c r="H18" i="53"/>
  <c r="F18" i="53"/>
  <c r="D18" i="53"/>
  <c r="L17" i="53"/>
  <c r="J17" i="53"/>
  <c r="H17" i="53"/>
  <c r="F17" i="53"/>
  <c r="D17" i="53"/>
  <c r="F16" i="53"/>
  <c r="D16" i="53"/>
  <c r="L15" i="53"/>
  <c r="J15" i="53"/>
  <c r="H15" i="53"/>
  <c r="F15" i="53"/>
  <c r="D15" i="53"/>
  <c r="L14" i="53"/>
  <c r="J14" i="53"/>
  <c r="H14" i="53"/>
  <c r="F14" i="53"/>
  <c r="D14" i="53"/>
  <c r="H13" i="53"/>
  <c r="F13" i="53"/>
  <c r="D13" i="53"/>
  <c r="L12" i="53"/>
  <c r="J12" i="53"/>
  <c r="H12" i="53"/>
  <c r="F12" i="53"/>
  <c r="D12" i="53"/>
  <c r="L11" i="53"/>
  <c r="J11" i="53"/>
  <c r="H11" i="53"/>
  <c r="F11" i="53"/>
  <c r="D11" i="53"/>
  <c r="F10" i="53"/>
  <c r="D10" i="53"/>
  <c r="L9" i="53"/>
  <c r="J9" i="53"/>
  <c r="H9" i="53"/>
  <c r="F9" i="53"/>
  <c r="D9" i="53"/>
  <c r="L8" i="53"/>
  <c r="J8" i="53"/>
  <c r="H8" i="53"/>
  <c r="F8" i="53"/>
  <c r="D8" i="53"/>
  <c r="H7" i="53"/>
  <c r="F7" i="53"/>
  <c r="D7" i="53"/>
  <c r="B2" i="53"/>
  <c r="D1" i="53"/>
  <c r="B1" i="53"/>
  <c r="B152" i="52"/>
  <c r="B153" i="52"/>
  <c r="B122" i="52"/>
  <c r="B123" i="52" s="1"/>
  <c r="B92" i="52"/>
  <c r="B93" i="52"/>
  <c r="B62" i="52"/>
  <c r="B63" i="52" s="1"/>
  <c r="B32" i="52"/>
  <c r="B33" i="52" s="1"/>
  <c r="B2" i="52"/>
  <c r="AC22" i="52"/>
  <c r="AA22" i="52"/>
  <c r="AA23" i="52" s="1"/>
  <c r="J23" i="52"/>
  <c r="Y22" i="52"/>
  <c r="W22" i="52"/>
  <c r="W23" i="52" s="1"/>
  <c r="F23" i="52" s="1"/>
  <c r="U22" i="52"/>
  <c r="U23" i="52" s="1"/>
  <c r="D23" i="52" s="1"/>
  <c r="M179" i="52"/>
  <c r="K179" i="52"/>
  <c r="I179" i="52"/>
  <c r="G179" i="52"/>
  <c r="E179" i="52"/>
  <c r="C179" i="52"/>
  <c r="B179" i="52"/>
  <c r="M178" i="52"/>
  <c r="K178" i="52"/>
  <c r="I178" i="52"/>
  <c r="G178" i="52"/>
  <c r="E178" i="52"/>
  <c r="C178" i="52"/>
  <c r="B178" i="52"/>
  <c r="M177" i="52"/>
  <c r="K177" i="52"/>
  <c r="I177" i="52"/>
  <c r="G177" i="52"/>
  <c r="E177" i="52"/>
  <c r="C177" i="52"/>
  <c r="B177" i="52"/>
  <c r="M176" i="52"/>
  <c r="K176" i="52"/>
  <c r="I176" i="52"/>
  <c r="G176" i="52"/>
  <c r="E176" i="52"/>
  <c r="C176" i="52"/>
  <c r="B176" i="52"/>
  <c r="M175" i="52"/>
  <c r="K175" i="52"/>
  <c r="I175" i="52"/>
  <c r="G175" i="52"/>
  <c r="E175" i="52"/>
  <c r="C175" i="52"/>
  <c r="B175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M173" i="52"/>
  <c r="K173" i="52"/>
  <c r="I173" i="52"/>
  <c r="G173" i="52"/>
  <c r="E173" i="52"/>
  <c r="C173" i="52"/>
  <c r="B173" i="52"/>
  <c r="M172" i="52"/>
  <c r="K172" i="52"/>
  <c r="I172" i="52"/>
  <c r="G172" i="52"/>
  <c r="E172" i="52"/>
  <c r="C172" i="52"/>
  <c r="B172" i="52"/>
  <c r="N170" i="52"/>
  <c r="L170" i="52"/>
  <c r="J170" i="52"/>
  <c r="H170" i="52"/>
  <c r="F170" i="52"/>
  <c r="D170" i="52"/>
  <c r="C170" i="52"/>
  <c r="B170" i="52"/>
  <c r="C169" i="52"/>
  <c r="B169" i="52"/>
  <c r="L168" i="52"/>
  <c r="J168" i="52"/>
  <c r="H168" i="52"/>
  <c r="F168" i="52"/>
  <c r="D168" i="52"/>
  <c r="C168" i="52"/>
  <c r="L167" i="52"/>
  <c r="J167" i="52"/>
  <c r="H167" i="52"/>
  <c r="F167" i="52"/>
  <c r="D167" i="52"/>
  <c r="C167" i="52"/>
  <c r="F166" i="52"/>
  <c r="D166" i="52"/>
  <c r="C166" i="52"/>
  <c r="L165" i="52"/>
  <c r="J165" i="52"/>
  <c r="H165" i="52"/>
  <c r="F165" i="52"/>
  <c r="D165" i="52"/>
  <c r="C165" i="52"/>
  <c r="L164" i="52"/>
  <c r="J164" i="52"/>
  <c r="H164" i="52"/>
  <c r="F164" i="52"/>
  <c r="D164" i="52"/>
  <c r="C164" i="52"/>
  <c r="F163" i="52"/>
  <c r="D163" i="52"/>
  <c r="C163" i="52"/>
  <c r="L162" i="52"/>
  <c r="J162" i="52"/>
  <c r="H162" i="52"/>
  <c r="F162" i="52"/>
  <c r="D162" i="52"/>
  <c r="C162" i="52"/>
  <c r="L161" i="52"/>
  <c r="J161" i="52"/>
  <c r="H161" i="52"/>
  <c r="F161" i="52"/>
  <c r="D161" i="52"/>
  <c r="C161" i="52"/>
  <c r="F160" i="52"/>
  <c r="D160" i="52"/>
  <c r="C160" i="52"/>
  <c r="L159" i="52"/>
  <c r="J159" i="52"/>
  <c r="H159" i="52"/>
  <c r="F159" i="52"/>
  <c r="D159" i="52"/>
  <c r="C159" i="52"/>
  <c r="L158" i="52"/>
  <c r="J158" i="52"/>
  <c r="H158" i="52"/>
  <c r="F158" i="52"/>
  <c r="D158" i="52"/>
  <c r="C158" i="52"/>
  <c r="F157" i="52"/>
  <c r="D157" i="52"/>
  <c r="C157" i="52"/>
  <c r="S153" i="52"/>
  <c r="BQ157" i="52" s="1"/>
  <c r="BQ158" i="52" s="1"/>
  <c r="BQ159" i="52" s="1"/>
  <c r="BQ160" i="52" s="1"/>
  <c r="BQ161" i="52" s="1"/>
  <c r="BQ162" i="52" s="1"/>
  <c r="BQ163" i="52" s="1"/>
  <c r="BQ164" i="52" s="1"/>
  <c r="BQ165" i="52" s="1"/>
  <c r="BQ166" i="52" s="1"/>
  <c r="BQ167" i="52" s="1"/>
  <c r="BQ168" i="52" s="1"/>
  <c r="B151" i="52"/>
  <c r="M149" i="52"/>
  <c r="K149" i="52"/>
  <c r="I149" i="52"/>
  <c r="G149" i="52"/>
  <c r="E149" i="52"/>
  <c r="C149" i="52"/>
  <c r="B149" i="52"/>
  <c r="M148" i="52"/>
  <c r="K148" i="52"/>
  <c r="I148" i="52"/>
  <c r="G148" i="52"/>
  <c r="E148" i="52"/>
  <c r="C148" i="52"/>
  <c r="B148" i="52"/>
  <c r="M147" i="52"/>
  <c r="K147" i="52"/>
  <c r="I147" i="52"/>
  <c r="G147" i="52"/>
  <c r="E147" i="52"/>
  <c r="C147" i="52"/>
  <c r="B147" i="52"/>
  <c r="M146" i="52"/>
  <c r="K146" i="52"/>
  <c r="I146" i="52"/>
  <c r="G146" i="52"/>
  <c r="E146" i="52"/>
  <c r="C146" i="52"/>
  <c r="B146" i="52"/>
  <c r="M145" i="52"/>
  <c r="K145" i="52"/>
  <c r="I145" i="52"/>
  <c r="G145" i="52"/>
  <c r="E145" i="52"/>
  <c r="C145" i="52"/>
  <c r="B145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M143" i="52"/>
  <c r="K143" i="52"/>
  <c r="I143" i="52"/>
  <c r="G143" i="52"/>
  <c r="E143" i="52"/>
  <c r="C143" i="52"/>
  <c r="B143" i="52"/>
  <c r="M142" i="52"/>
  <c r="K142" i="52"/>
  <c r="I142" i="52"/>
  <c r="G142" i="52"/>
  <c r="E142" i="52"/>
  <c r="C142" i="52"/>
  <c r="B142" i="52"/>
  <c r="N140" i="52"/>
  <c r="L140" i="52"/>
  <c r="J140" i="52"/>
  <c r="H140" i="52"/>
  <c r="F140" i="52"/>
  <c r="D140" i="52"/>
  <c r="C140" i="52"/>
  <c r="B140" i="52"/>
  <c r="C139" i="52"/>
  <c r="B139" i="52"/>
  <c r="L138" i="52"/>
  <c r="J138" i="52"/>
  <c r="H138" i="52"/>
  <c r="F138" i="52"/>
  <c r="D138" i="52"/>
  <c r="C138" i="52"/>
  <c r="L137" i="52"/>
  <c r="J137" i="52"/>
  <c r="H137" i="52"/>
  <c r="F137" i="52"/>
  <c r="D137" i="52"/>
  <c r="C137" i="52"/>
  <c r="F136" i="52"/>
  <c r="D136" i="52"/>
  <c r="C136" i="52"/>
  <c r="L135" i="52"/>
  <c r="J135" i="52"/>
  <c r="H135" i="52"/>
  <c r="F135" i="52"/>
  <c r="D135" i="52"/>
  <c r="C135" i="52"/>
  <c r="L134" i="52"/>
  <c r="J134" i="52"/>
  <c r="H134" i="52"/>
  <c r="F134" i="52"/>
  <c r="D134" i="52"/>
  <c r="C134" i="52"/>
  <c r="F133" i="52"/>
  <c r="D133" i="52"/>
  <c r="C133" i="52"/>
  <c r="L132" i="52"/>
  <c r="J132" i="52"/>
  <c r="H132" i="52"/>
  <c r="F132" i="52"/>
  <c r="D132" i="52"/>
  <c r="C132" i="52"/>
  <c r="L131" i="52"/>
  <c r="J131" i="52"/>
  <c r="H131" i="52"/>
  <c r="F131" i="52"/>
  <c r="D131" i="52"/>
  <c r="C131" i="52"/>
  <c r="F130" i="52"/>
  <c r="D130" i="52"/>
  <c r="C130" i="52"/>
  <c r="L129" i="52"/>
  <c r="J129" i="52"/>
  <c r="H129" i="52"/>
  <c r="F129" i="52"/>
  <c r="D129" i="52"/>
  <c r="C129" i="52"/>
  <c r="L128" i="52"/>
  <c r="J128" i="52"/>
  <c r="H128" i="52"/>
  <c r="F128" i="52"/>
  <c r="D128" i="52"/>
  <c r="C128" i="52"/>
  <c r="F127" i="52"/>
  <c r="D127" i="52"/>
  <c r="C127" i="52"/>
  <c r="S123" i="52"/>
  <c r="BQ127" i="52" s="1"/>
  <c r="BQ128" i="52" s="1"/>
  <c r="BQ129" i="52" s="1"/>
  <c r="BQ130" i="52" s="1"/>
  <c r="BQ131" i="52" s="1"/>
  <c r="BQ132" i="52" s="1"/>
  <c r="BQ133" i="52" s="1"/>
  <c r="BQ134" i="52" s="1"/>
  <c r="BQ135" i="52" s="1"/>
  <c r="BQ136" i="52" s="1"/>
  <c r="BQ137" i="52" s="1"/>
  <c r="BQ138" i="52" s="1"/>
  <c r="B121" i="52"/>
  <c r="M119" i="52"/>
  <c r="K119" i="52"/>
  <c r="I119" i="52"/>
  <c r="G119" i="52"/>
  <c r="E119" i="52"/>
  <c r="C119" i="52"/>
  <c r="B119" i="52"/>
  <c r="M118" i="52"/>
  <c r="K118" i="52"/>
  <c r="I118" i="52"/>
  <c r="G118" i="52"/>
  <c r="E118" i="52"/>
  <c r="C118" i="52"/>
  <c r="B118" i="52"/>
  <c r="M117" i="52"/>
  <c r="K117" i="52"/>
  <c r="I117" i="52"/>
  <c r="G117" i="52"/>
  <c r="E117" i="52"/>
  <c r="C117" i="52"/>
  <c r="B117" i="52"/>
  <c r="M116" i="52"/>
  <c r="K116" i="52"/>
  <c r="I116" i="52"/>
  <c r="G116" i="52"/>
  <c r="E116" i="52"/>
  <c r="C116" i="52"/>
  <c r="B116" i="52"/>
  <c r="M115" i="52"/>
  <c r="K115" i="52"/>
  <c r="I115" i="52"/>
  <c r="G115" i="52"/>
  <c r="E115" i="52"/>
  <c r="C115" i="52"/>
  <c r="B115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M113" i="52"/>
  <c r="K113" i="52"/>
  <c r="I113" i="52"/>
  <c r="G113" i="52"/>
  <c r="E113" i="52"/>
  <c r="C113" i="52"/>
  <c r="B113" i="52"/>
  <c r="M112" i="52"/>
  <c r="K112" i="52"/>
  <c r="I112" i="52"/>
  <c r="G112" i="52"/>
  <c r="E112" i="52"/>
  <c r="C112" i="52"/>
  <c r="B112" i="52"/>
  <c r="N110" i="52"/>
  <c r="L110" i="52"/>
  <c r="J110" i="52"/>
  <c r="H110" i="52"/>
  <c r="F110" i="52"/>
  <c r="D110" i="52"/>
  <c r="C110" i="52"/>
  <c r="B110" i="52"/>
  <c r="C109" i="52"/>
  <c r="B109" i="52"/>
  <c r="L108" i="52"/>
  <c r="J108" i="52"/>
  <c r="H108" i="52"/>
  <c r="F108" i="52"/>
  <c r="D108" i="52"/>
  <c r="C108" i="52"/>
  <c r="L107" i="52"/>
  <c r="J107" i="52"/>
  <c r="H107" i="52"/>
  <c r="F107" i="52"/>
  <c r="D107" i="52"/>
  <c r="C107" i="52"/>
  <c r="F106" i="52"/>
  <c r="D106" i="52"/>
  <c r="C106" i="52"/>
  <c r="L105" i="52"/>
  <c r="J105" i="52"/>
  <c r="H105" i="52"/>
  <c r="F105" i="52"/>
  <c r="D105" i="52"/>
  <c r="C105" i="52"/>
  <c r="L104" i="52"/>
  <c r="J104" i="52"/>
  <c r="H104" i="52"/>
  <c r="F104" i="52"/>
  <c r="D104" i="52"/>
  <c r="C104" i="52"/>
  <c r="F103" i="52"/>
  <c r="D103" i="52"/>
  <c r="C103" i="52"/>
  <c r="L102" i="52"/>
  <c r="J102" i="52"/>
  <c r="H102" i="52"/>
  <c r="F102" i="52"/>
  <c r="D102" i="52"/>
  <c r="C102" i="52"/>
  <c r="L101" i="52"/>
  <c r="J101" i="52"/>
  <c r="H101" i="52"/>
  <c r="F101" i="52"/>
  <c r="D101" i="52"/>
  <c r="C101" i="52"/>
  <c r="F100" i="52"/>
  <c r="D100" i="52"/>
  <c r="C100" i="52"/>
  <c r="L99" i="52"/>
  <c r="J99" i="52"/>
  <c r="H99" i="52"/>
  <c r="F99" i="52"/>
  <c r="D99" i="52"/>
  <c r="C99" i="52"/>
  <c r="L98" i="52"/>
  <c r="J98" i="52"/>
  <c r="H98" i="52"/>
  <c r="F98" i="52"/>
  <c r="D98" i="52"/>
  <c r="C98" i="52"/>
  <c r="F97" i="52"/>
  <c r="D97" i="52"/>
  <c r="C97" i="52"/>
  <c r="S93" i="52"/>
  <c r="B91" i="52"/>
  <c r="M89" i="52"/>
  <c r="K89" i="52"/>
  <c r="I89" i="52"/>
  <c r="G89" i="52"/>
  <c r="E89" i="52"/>
  <c r="C89" i="52"/>
  <c r="B89" i="52"/>
  <c r="M88" i="52"/>
  <c r="K88" i="52"/>
  <c r="I88" i="52"/>
  <c r="G88" i="52"/>
  <c r="E88" i="52"/>
  <c r="C88" i="52"/>
  <c r="B88" i="52"/>
  <c r="M87" i="52"/>
  <c r="K87" i="52"/>
  <c r="I87" i="52"/>
  <c r="G87" i="52"/>
  <c r="E87" i="52"/>
  <c r="C87" i="52"/>
  <c r="B87" i="52"/>
  <c r="M86" i="52"/>
  <c r="K86" i="52"/>
  <c r="I86" i="52"/>
  <c r="G86" i="52"/>
  <c r="E86" i="52"/>
  <c r="C86" i="52"/>
  <c r="B86" i="52"/>
  <c r="M85" i="52"/>
  <c r="K85" i="52"/>
  <c r="I85" i="52"/>
  <c r="G85" i="52"/>
  <c r="E85" i="52"/>
  <c r="C85" i="52"/>
  <c r="B85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M83" i="52"/>
  <c r="K83" i="52"/>
  <c r="I83" i="52"/>
  <c r="G83" i="52"/>
  <c r="E83" i="52"/>
  <c r="C83" i="52"/>
  <c r="B83" i="52"/>
  <c r="M82" i="52"/>
  <c r="K82" i="52"/>
  <c r="I82" i="52"/>
  <c r="G82" i="52"/>
  <c r="E82" i="52"/>
  <c r="C82" i="52"/>
  <c r="B82" i="52"/>
  <c r="N80" i="52"/>
  <c r="L80" i="52"/>
  <c r="J80" i="52"/>
  <c r="H80" i="52"/>
  <c r="F80" i="52"/>
  <c r="D80" i="52"/>
  <c r="C80" i="52"/>
  <c r="B80" i="52"/>
  <c r="C79" i="52"/>
  <c r="B79" i="52"/>
  <c r="L78" i="52"/>
  <c r="J78" i="52"/>
  <c r="H78" i="52"/>
  <c r="F78" i="52"/>
  <c r="D78" i="52"/>
  <c r="C78" i="52"/>
  <c r="L77" i="52"/>
  <c r="J77" i="52"/>
  <c r="H77" i="52"/>
  <c r="F77" i="52"/>
  <c r="D77" i="52"/>
  <c r="C77" i="52"/>
  <c r="F76" i="52"/>
  <c r="D76" i="52"/>
  <c r="C76" i="52"/>
  <c r="L75" i="52"/>
  <c r="J75" i="52"/>
  <c r="H75" i="52"/>
  <c r="F75" i="52"/>
  <c r="D75" i="52"/>
  <c r="C75" i="52"/>
  <c r="L74" i="52"/>
  <c r="J74" i="52"/>
  <c r="H74" i="52"/>
  <c r="F74" i="52"/>
  <c r="D74" i="52"/>
  <c r="C74" i="52"/>
  <c r="F73" i="52"/>
  <c r="D73" i="52"/>
  <c r="C73" i="52"/>
  <c r="L72" i="52"/>
  <c r="J72" i="52"/>
  <c r="H72" i="52"/>
  <c r="F72" i="52"/>
  <c r="D72" i="52"/>
  <c r="C72" i="52"/>
  <c r="L71" i="52"/>
  <c r="J71" i="52"/>
  <c r="H71" i="52"/>
  <c r="F71" i="52"/>
  <c r="D71" i="52"/>
  <c r="C71" i="52"/>
  <c r="F70" i="52"/>
  <c r="D70" i="52"/>
  <c r="C70" i="52"/>
  <c r="L69" i="52"/>
  <c r="J69" i="52"/>
  <c r="H69" i="52"/>
  <c r="F69" i="52"/>
  <c r="D69" i="52"/>
  <c r="C69" i="52"/>
  <c r="L68" i="52"/>
  <c r="J68" i="52"/>
  <c r="H68" i="52"/>
  <c r="F68" i="52"/>
  <c r="D68" i="52"/>
  <c r="C68" i="52"/>
  <c r="F67" i="52"/>
  <c r="D67" i="52"/>
  <c r="C67" i="52"/>
  <c r="S63" i="52"/>
  <c r="BQ67" i="52" s="1"/>
  <c r="BQ68" i="52" s="1"/>
  <c r="BQ69" i="52" s="1"/>
  <c r="BQ70" i="52" s="1"/>
  <c r="BQ71" i="52" s="1"/>
  <c r="BQ72" i="52" s="1"/>
  <c r="BQ73" i="52" s="1"/>
  <c r="BQ74" i="52" s="1"/>
  <c r="BQ75" i="52" s="1"/>
  <c r="BQ76" i="52" s="1"/>
  <c r="BQ77" i="52" s="1"/>
  <c r="BQ78" i="52" s="1"/>
  <c r="B61" i="52"/>
  <c r="M59" i="52"/>
  <c r="K59" i="52"/>
  <c r="I59" i="52"/>
  <c r="G59" i="52"/>
  <c r="E59" i="52"/>
  <c r="C59" i="52"/>
  <c r="B59" i="52"/>
  <c r="M58" i="52"/>
  <c r="K58" i="52"/>
  <c r="I58" i="52"/>
  <c r="G58" i="52"/>
  <c r="E58" i="52"/>
  <c r="C58" i="52"/>
  <c r="B58" i="52"/>
  <c r="M57" i="52"/>
  <c r="K57" i="52"/>
  <c r="I57" i="52"/>
  <c r="G57" i="52"/>
  <c r="E57" i="52"/>
  <c r="C57" i="52"/>
  <c r="B57" i="52"/>
  <c r="M56" i="52"/>
  <c r="K56" i="52"/>
  <c r="I56" i="52"/>
  <c r="G56" i="52"/>
  <c r="E56" i="52"/>
  <c r="C56" i="52"/>
  <c r="B56" i="52"/>
  <c r="M55" i="52"/>
  <c r="K55" i="52"/>
  <c r="I55" i="52"/>
  <c r="G55" i="52"/>
  <c r="E55" i="52"/>
  <c r="C55" i="52"/>
  <c r="B55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M53" i="52"/>
  <c r="K53" i="52"/>
  <c r="I53" i="52"/>
  <c r="G53" i="52"/>
  <c r="E53" i="52"/>
  <c r="C53" i="52"/>
  <c r="B53" i="52"/>
  <c r="M52" i="52"/>
  <c r="K52" i="52"/>
  <c r="I52" i="52"/>
  <c r="G52" i="52"/>
  <c r="E52" i="52"/>
  <c r="C52" i="52"/>
  <c r="B52" i="52"/>
  <c r="N50" i="52"/>
  <c r="L50" i="52"/>
  <c r="J50" i="52"/>
  <c r="H50" i="52"/>
  <c r="F50" i="52"/>
  <c r="D50" i="52"/>
  <c r="C50" i="52"/>
  <c r="B50" i="52"/>
  <c r="C49" i="52"/>
  <c r="B49" i="52"/>
  <c r="L48" i="52"/>
  <c r="J48" i="52"/>
  <c r="H48" i="52"/>
  <c r="F48" i="52"/>
  <c r="D48" i="52"/>
  <c r="C48" i="52"/>
  <c r="L47" i="52"/>
  <c r="J47" i="52"/>
  <c r="H47" i="52"/>
  <c r="F47" i="52"/>
  <c r="D47" i="52"/>
  <c r="C47" i="52"/>
  <c r="F46" i="52"/>
  <c r="D46" i="52"/>
  <c r="C46" i="52"/>
  <c r="L45" i="52"/>
  <c r="J45" i="52"/>
  <c r="H45" i="52"/>
  <c r="F45" i="52"/>
  <c r="D45" i="52"/>
  <c r="C45" i="52"/>
  <c r="L44" i="52"/>
  <c r="J44" i="52"/>
  <c r="H44" i="52"/>
  <c r="F44" i="52"/>
  <c r="D44" i="52"/>
  <c r="C44" i="52"/>
  <c r="F43" i="52"/>
  <c r="D43" i="52"/>
  <c r="C43" i="52"/>
  <c r="L42" i="52"/>
  <c r="J42" i="52"/>
  <c r="H42" i="52"/>
  <c r="F42" i="52"/>
  <c r="D42" i="52"/>
  <c r="C42" i="52"/>
  <c r="L41" i="52"/>
  <c r="J41" i="52"/>
  <c r="H41" i="52"/>
  <c r="F41" i="52"/>
  <c r="D41" i="52"/>
  <c r="C41" i="52"/>
  <c r="F40" i="52"/>
  <c r="D40" i="52"/>
  <c r="C40" i="52"/>
  <c r="L39" i="52"/>
  <c r="J39" i="52"/>
  <c r="H39" i="52"/>
  <c r="F39" i="52"/>
  <c r="D39" i="52"/>
  <c r="C39" i="52"/>
  <c r="L38" i="52"/>
  <c r="J38" i="52"/>
  <c r="H38" i="52"/>
  <c r="F38" i="52"/>
  <c r="D38" i="52"/>
  <c r="C38" i="52"/>
  <c r="F37" i="52"/>
  <c r="D37" i="52"/>
  <c r="C37" i="52"/>
  <c r="S33" i="52"/>
  <c r="BQ37" i="52" s="1"/>
  <c r="BQ38" i="52" s="1"/>
  <c r="BQ39" i="52" s="1"/>
  <c r="BQ40" i="52" s="1"/>
  <c r="BQ41" i="52" s="1"/>
  <c r="BQ42" i="52" s="1"/>
  <c r="BQ43" i="52" s="1"/>
  <c r="BQ44" i="52" s="1"/>
  <c r="BQ45" i="52" s="1"/>
  <c r="BQ46" i="52" s="1"/>
  <c r="BQ47" i="52" s="1"/>
  <c r="BQ48" i="52" s="1"/>
  <c r="B31" i="52"/>
  <c r="M29" i="52"/>
  <c r="K29" i="52"/>
  <c r="I29" i="52"/>
  <c r="G29" i="52"/>
  <c r="E29" i="52"/>
  <c r="C29" i="52"/>
  <c r="B29" i="52"/>
  <c r="M28" i="52"/>
  <c r="K28" i="52"/>
  <c r="I28" i="52"/>
  <c r="G28" i="52"/>
  <c r="E28" i="52"/>
  <c r="C28" i="52"/>
  <c r="B28" i="52"/>
  <c r="M27" i="52"/>
  <c r="K27" i="52"/>
  <c r="I27" i="52"/>
  <c r="G27" i="52"/>
  <c r="E27" i="52"/>
  <c r="C27" i="52"/>
  <c r="B27" i="52"/>
  <c r="M26" i="52"/>
  <c r="K26" i="52"/>
  <c r="I26" i="52"/>
  <c r="G26" i="52"/>
  <c r="E26" i="52"/>
  <c r="C26" i="52"/>
  <c r="B26" i="52"/>
  <c r="M25" i="52"/>
  <c r="K25" i="52"/>
  <c r="I25" i="52"/>
  <c r="G25" i="52"/>
  <c r="E25" i="52"/>
  <c r="C25" i="52"/>
  <c r="B25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M23" i="52"/>
  <c r="K23" i="52"/>
  <c r="I23" i="52"/>
  <c r="G23" i="52"/>
  <c r="E23" i="52"/>
  <c r="C23" i="52"/>
  <c r="B23" i="52"/>
  <c r="M22" i="52"/>
  <c r="K22" i="52"/>
  <c r="I22" i="52"/>
  <c r="G22" i="52"/>
  <c r="E22" i="52"/>
  <c r="C22" i="52"/>
  <c r="B22" i="52"/>
  <c r="N20" i="52"/>
  <c r="L20" i="52"/>
  <c r="J20" i="52"/>
  <c r="H20" i="52"/>
  <c r="F20" i="52"/>
  <c r="D20" i="52"/>
  <c r="C20" i="52"/>
  <c r="B20" i="52"/>
  <c r="C19" i="52"/>
  <c r="B19" i="52"/>
  <c r="L18" i="52"/>
  <c r="J18" i="52"/>
  <c r="H18" i="52"/>
  <c r="F18" i="52"/>
  <c r="D18" i="52"/>
  <c r="C18" i="52"/>
  <c r="L17" i="52"/>
  <c r="J17" i="52"/>
  <c r="H17" i="52"/>
  <c r="F17" i="52"/>
  <c r="D17" i="52"/>
  <c r="C17" i="52"/>
  <c r="F16" i="52"/>
  <c r="D16" i="52"/>
  <c r="C16" i="52"/>
  <c r="L15" i="52"/>
  <c r="J15" i="52"/>
  <c r="H15" i="52"/>
  <c r="F15" i="52"/>
  <c r="D15" i="52"/>
  <c r="C15" i="52"/>
  <c r="L14" i="52"/>
  <c r="J14" i="52"/>
  <c r="H14" i="52"/>
  <c r="F14" i="52"/>
  <c r="D14" i="52"/>
  <c r="C14" i="52"/>
  <c r="F13" i="52"/>
  <c r="D13" i="52"/>
  <c r="C13" i="52"/>
  <c r="L12" i="52"/>
  <c r="J12" i="52"/>
  <c r="H12" i="52"/>
  <c r="F12" i="52"/>
  <c r="D12" i="52"/>
  <c r="C12" i="52"/>
  <c r="L11" i="52"/>
  <c r="J11" i="52"/>
  <c r="H11" i="52"/>
  <c r="F11" i="52"/>
  <c r="D11" i="52"/>
  <c r="C11" i="52"/>
  <c r="F10" i="52"/>
  <c r="D10" i="52"/>
  <c r="C10" i="52"/>
  <c r="L9" i="52"/>
  <c r="J9" i="52"/>
  <c r="H9" i="52"/>
  <c r="F9" i="52"/>
  <c r="D9" i="52"/>
  <c r="C9" i="52"/>
  <c r="L8" i="52"/>
  <c r="J8" i="52"/>
  <c r="H8" i="52"/>
  <c r="F8" i="52"/>
  <c r="D8" i="52"/>
  <c r="C8" i="52"/>
  <c r="F7" i="52"/>
  <c r="D7" i="52"/>
  <c r="C7" i="52"/>
  <c r="D1" i="52"/>
  <c r="B1" i="52"/>
  <c r="D19" i="52"/>
  <c r="S3" i="52"/>
  <c r="BQ7" i="52"/>
  <c r="BQ8" i="52" s="1"/>
  <c r="BQ9" i="52" s="1"/>
  <c r="BQ10" i="52" s="1"/>
  <c r="BQ11" i="52" s="1"/>
  <c r="BQ12" i="52" s="1"/>
  <c r="BQ13" i="52" s="1"/>
  <c r="BQ14" i="52" s="1"/>
  <c r="BQ15" i="52" s="1"/>
  <c r="BQ16" i="52" s="1"/>
  <c r="BQ17" i="52" s="1"/>
  <c r="BQ18" i="52" s="1"/>
  <c r="DI1" i="16"/>
  <c r="AD1" i="59"/>
  <c r="CY2" i="16"/>
  <c r="V152" i="59"/>
  <c r="E152" i="59" s="1"/>
  <c r="CO1" i="16"/>
  <c r="L1" i="86" s="1"/>
  <c r="Q6" i="93" s="1"/>
  <c r="CE2" i="16"/>
  <c r="D31" i="86" s="1"/>
  <c r="BU1" i="16"/>
  <c r="AD61" i="57"/>
  <c r="BK2" i="16"/>
  <c r="V62" i="57" s="1"/>
  <c r="E62" i="57" s="1"/>
  <c r="AQ2" i="16"/>
  <c r="V92" i="55" s="1"/>
  <c r="E92" i="55" s="1"/>
  <c r="BA1" i="16"/>
  <c r="L1" i="84" s="1"/>
  <c r="Q6" i="91" s="1"/>
  <c r="AG1" i="16"/>
  <c r="L59" i="45" s="1"/>
  <c r="W2" i="16"/>
  <c r="V92" i="53" s="1"/>
  <c r="E92" i="53" s="1"/>
  <c r="M1" i="16"/>
  <c r="L117" i="41" s="1"/>
  <c r="C2" i="16"/>
  <c r="P8" i="89"/>
  <c r="N105" i="59"/>
  <c r="N48" i="52"/>
  <c r="D169" i="52"/>
  <c r="D49" i="52"/>
  <c r="N38" i="52"/>
  <c r="N105" i="52"/>
  <c r="F19" i="53"/>
  <c r="S104" i="52"/>
  <c r="B104" i="52" s="1"/>
  <c r="S157" i="52"/>
  <c r="B157" i="52" s="1"/>
  <c r="S100" i="53"/>
  <c r="B100" i="53" s="1"/>
  <c r="S77" i="53"/>
  <c r="B77" i="53" s="1"/>
  <c r="S38" i="52"/>
  <c r="B38" i="52" s="1"/>
  <c r="S68" i="52"/>
  <c r="B68" i="52" s="1"/>
  <c r="N161" i="52"/>
  <c r="N45" i="52"/>
  <c r="N165" i="52"/>
  <c r="N159" i="52"/>
  <c r="N78" i="52"/>
  <c r="D139" i="52"/>
  <c r="N9" i="52"/>
  <c r="N11" i="52"/>
  <c r="N162" i="52"/>
  <c r="N99" i="52"/>
  <c r="D109" i="52"/>
  <c r="N69" i="52"/>
  <c r="N17" i="52"/>
  <c r="N137" i="52"/>
  <c r="N167" i="52"/>
  <c r="N135" i="52"/>
  <c r="N162" i="59"/>
  <c r="D139" i="59"/>
  <c r="D79" i="59"/>
  <c r="N14" i="59"/>
  <c r="N167" i="58"/>
  <c r="N101" i="58"/>
  <c r="N74" i="58"/>
  <c r="F49" i="58"/>
  <c r="N101" i="57"/>
  <c r="D139" i="57"/>
  <c r="D109" i="57"/>
  <c r="N132" i="55"/>
  <c r="N137" i="55"/>
  <c r="N167" i="55"/>
  <c r="N168" i="55"/>
  <c r="D169" i="55"/>
  <c r="N138" i="55"/>
  <c r="N129" i="55"/>
  <c r="N77" i="55"/>
  <c r="N44" i="53"/>
  <c r="N75" i="53"/>
  <c r="N78" i="53"/>
  <c r="N168" i="53"/>
  <c r="N12" i="57"/>
  <c r="N138" i="57"/>
  <c r="N105" i="57"/>
  <c r="N11" i="58"/>
  <c r="N69" i="58"/>
  <c r="N108" i="58"/>
  <c r="N135" i="59"/>
  <c r="N9" i="59"/>
  <c r="N138" i="59"/>
  <c r="N75" i="59"/>
  <c r="N15" i="59"/>
  <c r="N68" i="59"/>
  <c r="N12" i="59"/>
  <c r="N134" i="59"/>
  <c r="N72" i="59"/>
  <c r="N165" i="59"/>
  <c r="N42" i="59"/>
  <c r="N107" i="59"/>
  <c r="N104" i="58"/>
  <c r="N15" i="58"/>
  <c r="N98" i="58"/>
  <c r="N131" i="58"/>
  <c r="N134" i="58"/>
  <c r="N137" i="58"/>
  <c r="N158" i="58"/>
  <c r="N128" i="58"/>
  <c r="N99" i="58"/>
  <c r="N132" i="58"/>
  <c r="N135" i="58"/>
  <c r="N138" i="58"/>
  <c r="N18" i="57"/>
  <c r="N72" i="57"/>
  <c r="N75" i="57"/>
  <c r="N135" i="57"/>
  <c r="N38" i="57"/>
  <c r="N128" i="57"/>
  <c r="N134" i="57"/>
  <c r="N162" i="57"/>
  <c r="N14" i="55"/>
  <c r="N128" i="55"/>
  <c r="N164" i="55"/>
  <c r="N101" i="55"/>
  <c r="N69" i="53"/>
  <c r="N12" i="53"/>
  <c r="N18" i="53"/>
  <c r="N138" i="53"/>
  <c r="N158" i="53"/>
  <c r="N14" i="53"/>
  <c r="D142" i="59"/>
  <c r="F82" i="58"/>
  <c r="F169" i="52"/>
  <c r="H127" i="52"/>
  <c r="J37" i="52"/>
  <c r="H37" i="52"/>
  <c r="H13" i="52"/>
  <c r="F19" i="52"/>
  <c r="BI7" i="52"/>
  <c r="H157" i="52"/>
  <c r="H97" i="52"/>
  <c r="H67" i="52"/>
  <c r="H40" i="52"/>
  <c r="N131" i="52"/>
  <c r="H112" i="52"/>
  <c r="BJ7" i="52"/>
  <c r="H7" i="52"/>
  <c r="J157" i="52"/>
  <c r="L157" i="52"/>
  <c r="J97" i="52"/>
  <c r="J67" i="52"/>
  <c r="J40" i="52"/>
  <c r="BK7" i="52"/>
  <c r="J7" i="52"/>
  <c r="L40" i="52"/>
  <c r="J103" i="57"/>
  <c r="J73" i="55"/>
  <c r="J13" i="55"/>
  <c r="L103" i="57"/>
  <c r="L73" i="55"/>
  <c r="L13" i="55"/>
  <c r="W53" i="55"/>
  <c r="F53" i="55"/>
  <c r="J127" i="52"/>
  <c r="L67" i="52"/>
  <c r="L7" i="52"/>
  <c r="BL7" i="52"/>
  <c r="J13" i="52"/>
  <c r="H19" i="52"/>
  <c r="H10" i="52"/>
  <c r="H16" i="52"/>
  <c r="N168" i="59"/>
  <c r="N39" i="58"/>
  <c r="N78" i="58"/>
  <c r="N15" i="55"/>
  <c r="J13" i="53"/>
  <c r="N107" i="53"/>
  <c r="J7" i="53"/>
  <c r="H100" i="53"/>
  <c r="H166" i="53"/>
  <c r="H160" i="52"/>
  <c r="H166" i="52"/>
  <c r="H163" i="52"/>
  <c r="H130" i="52"/>
  <c r="H136" i="52"/>
  <c r="H133" i="52"/>
  <c r="H100" i="52"/>
  <c r="H106" i="52"/>
  <c r="H103" i="52"/>
  <c r="L97" i="52"/>
  <c r="H76" i="52"/>
  <c r="H70" i="52"/>
  <c r="H73" i="52"/>
  <c r="H46" i="52"/>
  <c r="H43" i="52"/>
  <c r="H49" i="52"/>
  <c r="L37" i="52"/>
  <c r="N18" i="59"/>
  <c r="N9" i="58"/>
  <c r="N45" i="58"/>
  <c r="N72" i="58"/>
  <c r="U143" i="57"/>
  <c r="D143" i="57"/>
  <c r="N42" i="55"/>
  <c r="L127" i="52"/>
  <c r="L13" i="52"/>
  <c r="J16" i="52"/>
  <c r="J10" i="52"/>
  <c r="J19" i="52"/>
  <c r="J37" i="53"/>
  <c r="J43" i="53"/>
  <c r="H40" i="59"/>
  <c r="H16" i="59"/>
  <c r="H76" i="59"/>
  <c r="J43" i="59"/>
  <c r="J73" i="59"/>
  <c r="H106" i="59"/>
  <c r="J7" i="59"/>
  <c r="H130" i="59"/>
  <c r="J127" i="59"/>
  <c r="H166" i="58"/>
  <c r="J127" i="58"/>
  <c r="H49" i="58"/>
  <c r="H40" i="58"/>
  <c r="J7" i="58"/>
  <c r="H106" i="58"/>
  <c r="J157" i="58"/>
  <c r="H46" i="58"/>
  <c r="H10" i="58"/>
  <c r="H19" i="58"/>
  <c r="H16" i="58"/>
  <c r="J103" i="58"/>
  <c r="J37" i="57"/>
  <c r="J163" i="57"/>
  <c r="J67" i="57"/>
  <c r="J97" i="55"/>
  <c r="J127" i="55"/>
  <c r="N73" i="55"/>
  <c r="J43" i="55"/>
  <c r="J7" i="55"/>
  <c r="J103" i="55"/>
  <c r="J160" i="55"/>
  <c r="J133" i="55"/>
  <c r="J37" i="55"/>
  <c r="H166" i="55"/>
  <c r="J157" i="55"/>
  <c r="H136" i="55"/>
  <c r="H79" i="53"/>
  <c r="H76" i="53"/>
  <c r="J157" i="53"/>
  <c r="H136" i="53"/>
  <c r="H10" i="53"/>
  <c r="J133" i="53"/>
  <c r="H46" i="53"/>
  <c r="H106" i="53"/>
  <c r="J163" i="52"/>
  <c r="J160" i="52"/>
  <c r="H169" i="52"/>
  <c r="J166" i="52"/>
  <c r="J136" i="52"/>
  <c r="H139" i="52"/>
  <c r="J130" i="52"/>
  <c r="J133" i="52"/>
  <c r="J106" i="52"/>
  <c r="J103" i="52"/>
  <c r="J100" i="52"/>
  <c r="J73" i="52"/>
  <c r="J70" i="52"/>
  <c r="J79" i="52"/>
  <c r="J76" i="52"/>
  <c r="J43" i="52"/>
  <c r="J49" i="52"/>
  <c r="J46" i="52"/>
  <c r="J10" i="59"/>
  <c r="H160" i="59"/>
  <c r="J97" i="59"/>
  <c r="J67" i="59"/>
  <c r="H166" i="59"/>
  <c r="J157" i="59"/>
  <c r="J40" i="59"/>
  <c r="L127" i="59"/>
  <c r="J133" i="59"/>
  <c r="J103" i="59"/>
  <c r="J163" i="59"/>
  <c r="L43" i="59"/>
  <c r="H100" i="59"/>
  <c r="H46" i="59"/>
  <c r="J13" i="59"/>
  <c r="H70" i="59"/>
  <c r="J37" i="59"/>
  <c r="H136" i="59"/>
  <c r="H136" i="58"/>
  <c r="J43" i="58"/>
  <c r="H130" i="58"/>
  <c r="H76" i="58"/>
  <c r="H160" i="58"/>
  <c r="J16" i="58"/>
  <c r="H100" i="58"/>
  <c r="H70" i="58"/>
  <c r="J133" i="58"/>
  <c r="L7" i="58"/>
  <c r="J37" i="58"/>
  <c r="J163" i="58"/>
  <c r="J10" i="58"/>
  <c r="L127" i="58"/>
  <c r="J13" i="58"/>
  <c r="L157" i="58"/>
  <c r="J46" i="58"/>
  <c r="J106" i="58"/>
  <c r="J97" i="58"/>
  <c r="J109" i="58"/>
  <c r="J67" i="58"/>
  <c r="J73" i="58"/>
  <c r="J43" i="57"/>
  <c r="H46" i="57"/>
  <c r="H136" i="57"/>
  <c r="J133" i="57"/>
  <c r="J13" i="57"/>
  <c r="H16" i="57"/>
  <c r="H76" i="57"/>
  <c r="H160" i="57"/>
  <c r="L7" i="57"/>
  <c r="H10" i="57"/>
  <c r="J73" i="57"/>
  <c r="H70" i="57"/>
  <c r="J127" i="57"/>
  <c r="L67" i="57"/>
  <c r="H166" i="57"/>
  <c r="H40" i="57"/>
  <c r="H130" i="57"/>
  <c r="H100" i="57"/>
  <c r="L37" i="57"/>
  <c r="J157" i="57"/>
  <c r="H106" i="57"/>
  <c r="J97" i="57"/>
  <c r="L97" i="55"/>
  <c r="H76" i="55"/>
  <c r="L37" i="55"/>
  <c r="H130" i="55"/>
  <c r="J166" i="55"/>
  <c r="H46" i="55"/>
  <c r="H100" i="55"/>
  <c r="H106" i="55"/>
  <c r="L160" i="55"/>
  <c r="L7" i="55"/>
  <c r="H40" i="55"/>
  <c r="H70" i="55"/>
  <c r="J67" i="55"/>
  <c r="J136" i="55"/>
  <c r="H10" i="55"/>
  <c r="H16" i="55"/>
  <c r="J163" i="55"/>
  <c r="L157" i="55"/>
  <c r="J103" i="53"/>
  <c r="J73" i="53"/>
  <c r="H40" i="53"/>
  <c r="J16" i="53"/>
  <c r="J130" i="53"/>
  <c r="J127" i="53"/>
  <c r="J76" i="53"/>
  <c r="J163" i="53"/>
  <c r="J100" i="53"/>
  <c r="L13" i="53"/>
  <c r="J70" i="53"/>
  <c r="J166" i="53"/>
  <c r="L157" i="53"/>
  <c r="L7" i="53"/>
  <c r="J67" i="53"/>
  <c r="J97" i="53"/>
  <c r="H160" i="53"/>
  <c r="L10" i="52"/>
  <c r="L16" i="52"/>
  <c r="L43" i="53"/>
  <c r="L37" i="53"/>
  <c r="N7" i="59"/>
  <c r="J130" i="59"/>
  <c r="J106" i="59"/>
  <c r="J16" i="59"/>
  <c r="J76" i="59"/>
  <c r="L73" i="59"/>
  <c r="L7" i="59"/>
  <c r="N73" i="59"/>
  <c r="J166" i="58"/>
  <c r="L103" i="58"/>
  <c r="J40" i="58"/>
  <c r="N163" i="57"/>
  <c r="L163" i="57"/>
  <c r="L103" i="55"/>
  <c r="L127" i="55"/>
  <c r="L43" i="55"/>
  <c r="L133" i="55"/>
  <c r="J106" i="53"/>
  <c r="J136" i="53"/>
  <c r="J10" i="53"/>
  <c r="J46" i="53"/>
  <c r="L133" i="53"/>
  <c r="L163" i="52"/>
  <c r="L166" i="52"/>
  <c r="L160" i="52"/>
  <c r="L130" i="52"/>
  <c r="L136" i="52"/>
  <c r="L133" i="52"/>
  <c r="L106" i="52"/>
  <c r="L100" i="52"/>
  <c r="L103" i="52"/>
  <c r="L70" i="52"/>
  <c r="L73" i="52"/>
  <c r="N73" i="52"/>
  <c r="L76" i="52"/>
  <c r="L46" i="52"/>
  <c r="L43" i="52"/>
  <c r="N40" i="59"/>
  <c r="N157" i="59"/>
  <c r="J136" i="59"/>
  <c r="L103" i="59"/>
  <c r="L97" i="59"/>
  <c r="L163" i="59"/>
  <c r="J46" i="59"/>
  <c r="L40" i="59"/>
  <c r="J166" i="59"/>
  <c r="L67" i="59"/>
  <c r="L133" i="59"/>
  <c r="L157" i="59"/>
  <c r="J160" i="59"/>
  <c r="L37" i="59"/>
  <c r="L49" i="59"/>
  <c r="L13" i="59"/>
  <c r="L10" i="59"/>
  <c r="J70" i="59"/>
  <c r="J100" i="59"/>
  <c r="L73" i="58"/>
  <c r="L37" i="58"/>
  <c r="L43" i="58"/>
  <c r="J70" i="58"/>
  <c r="J100" i="58"/>
  <c r="H109" i="58"/>
  <c r="N106" i="58"/>
  <c r="L13" i="58"/>
  <c r="L133" i="58"/>
  <c r="J169" i="58"/>
  <c r="J160" i="58"/>
  <c r="L46" i="58"/>
  <c r="N13" i="58"/>
  <c r="L163" i="58"/>
  <c r="J136" i="58"/>
  <c r="L67" i="58"/>
  <c r="L106" i="58"/>
  <c r="L10" i="58"/>
  <c r="L97" i="58"/>
  <c r="L16" i="58"/>
  <c r="J130" i="58"/>
  <c r="J139" i="58"/>
  <c r="J76" i="58"/>
  <c r="J100" i="57"/>
  <c r="L127" i="57"/>
  <c r="J70" i="57"/>
  <c r="J79" i="57"/>
  <c r="H49" i="57"/>
  <c r="J16" i="57"/>
  <c r="L133" i="57"/>
  <c r="J46" i="57"/>
  <c r="N157" i="57"/>
  <c r="J130" i="57"/>
  <c r="J40" i="57"/>
  <c r="L73" i="57"/>
  <c r="J76" i="57"/>
  <c r="J136" i="57"/>
  <c r="L97" i="57"/>
  <c r="J106" i="57"/>
  <c r="L157" i="57"/>
  <c r="L43" i="57"/>
  <c r="J166" i="57"/>
  <c r="J10" i="57"/>
  <c r="L13" i="57"/>
  <c r="J160" i="57"/>
  <c r="L136" i="55"/>
  <c r="H49" i="55"/>
  <c r="J40" i="55"/>
  <c r="J49" i="55"/>
  <c r="L163" i="55"/>
  <c r="J100" i="55"/>
  <c r="L166" i="55"/>
  <c r="J46" i="55"/>
  <c r="J10" i="55"/>
  <c r="J19" i="55"/>
  <c r="L67" i="55"/>
  <c r="J76" i="55"/>
  <c r="J16" i="55"/>
  <c r="J139" i="55"/>
  <c r="J130" i="55"/>
  <c r="J70" i="55"/>
  <c r="J106" i="55"/>
  <c r="H169" i="53"/>
  <c r="L67" i="53"/>
  <c r="J160" i="53"/>
  <c r="L97" i="53"/>
  <c r="J40" i="53"/>
  <c r="L103" i="53"/>
  <c r="L127" i="53"/>
  <c r="J19" i="53"/>
  <c r="L73" i="53"/>
  <c r="L76" i="53"/>
  <c r="N67" i="53"/>
  <c r="L166" i="53"/>
  <c r="L100" i="53"/>
  <c r="L16" i="53"/>
  <c r="L70" i="53"/>
  <c r="L163" i="53"/>
  <c r="L130" i="53"/>
  <c r="L16" i="59"/>
  <c r="L106" i="59"/>
  <c r="L76" i="59"/>
  <c r="L130" i="59"/>
  <c r="L166" i="58"/>
  <c r="L40" i="58"/>
  <c r="L46" i="53"/>
  <c r="L10" i="53"/>
  <c r="L106" i="53"/>
  <c r="L136" i="53"/>
  <c r="N166" i="52"/>
  <c r="L166" i="59"/>
  <c r="L70" i="59"/>
  <c r="L160" i="59"/>
  <c r="L100" i="59"/>
  <c r="L136" i="59"/>
  <c r="L46" i="59"/>
  <c r="N133" i="59"/>
  <c r="L76" i="58"/>
  <c r="L130" i="58"/>
  <c r="L70" i="58"/>
  <c r="L100" i="58"/>
  <c r="L160" i="58"/>
  <c r="L136" i="58"/>
  <c r="L10" i="57"/>
  <c r="L166" i="57"/>
  <c r="L70" i="57"/>
  <c r="L79" i="57"/>
  <c r="L100" i="57"/>
  <c r="L160" i="57"/>
  <c r="L106" i="57"/>
  <c r="L136" i="57"/>
  <c r="L76" i="57"/>
  <c r="L130" i="57"/>
  <c r="L46" i="57"/>
  <c r="L16" i="57"/>
  <c r="N127" i="57"/>
  <c r="L40" i="57"/>
  <c r="N106" i="55"/>
  <c r="L46" i="55"/>
  <c r="L10" i="55"/>
  <c r="L70" i="55"/>
  <c r="L16" i="55"/>
  <c r="L106" i="55"/>
  <c r="L130" i="55"/>
  <c r="L76" i="55"/>
  <c r="L100" i="55"/>
  <c r="L40" i="55"/>
  <c r="L160" i="53"/>
  <c r="L169" i="53"/>
  <c r="L40" i="53"/>
  <c r="N73" i="53"/>
  <c r="L19" i="53"/>
  <c r="N76" i="58"/>
  <c r="N70" i="58"/>
  <c r="N166" i="57"/>
  <c r="N160" i="57"/>
  <c r="N10" i="55"/>
  <c r="L49" i="55"/>
  <c r="N130" i="55"/>
  <c r="N76" i="55"/>
  <c r="N160" i="53"/>
  <c r="DI7" i="16"/>
  <c r="V64" i="59"/>
  <c r="DK9" i="16"/>
  <c r="Z124" i="59" s="1"/>
  <c r="DI10" i="16"/>
  <c r="V154" i="59"/>
  <c r="DK5" i="16"/>
  <c r="DK10" i="16"/>
  <c r="Z154" i="59"/>
  <c r="W143" i="53"/>
  <c r="F143" i="53" s="1"/>
  <c r="F142" i="53"/>
  <c r="F52" i="58"/>
  <c r="W53" i="58"/>
  <c r="F53" i="58" s="1"/>
  <c r="AA173" i="58"/>
  <c r="J173" i="58" s="1"/>
  <c r="CO5" i="16"/>
  <c r="CP5" i="16"/>
  <c r="CO6" i="16"/>
  <c r="E33" i="86" s="1"/>
  <c r="CO8" i="16"/>
  <c r="V94" i="58" s="1"/>
  <c r="CO9" i="16"/>
  <c r="CQ5" i="16"/>
  <c r="Z4" i="58"/>
  <c r="CP9" i="16"/>
  <c r="CO10" i="16"/>
  <c r="CQ6" i="16"/>
  <c r="CQ7" i="16"/>
  <c r="Z64" i="58" s="1"/>
  <c r="CQ8" i="16"/>
  <c r="CP10" i="16"/>
  <c r="X154" i="58" s="1"/>
  <c r="CS5" i="16"/>
  <c r="AD4" i="58" s="1"/>
  <c r="CR6" i="16"/>
  <c r="K33" i="86" s="1"/>
  <c r="CR7" i="16"/>
  <c r="CR9" i="16"/>
  <c r="AB124" i="58" s="1"/>
  <c r="CQ10" i="16"/>
  <c r="Z154" i="58" s="1"/>
  <c r="CS8" i="16"/>
  <c r="CS9" i="16"/>
  <c r="CR10" i="16"/>
  <c r="BU5" i="16"/>
  <c r="V4" i="57"/>
  <c r="BX9" i="16"/>
  <c r="AB124" i="57" s="1"/>
  <c r="B60" i="85"/>
  <c r="H80" i="85"/>
  <c r="H81" i="85" s="1"/>
  <c r="BY5" i="16"/>
  <c r="BW7" i="16"/>
  <c r="BB5" i="16"/>
  <c r="BE7" i="16"/>
  <c r="BC8" i="16"/>
  <c r="BD10" i="16"/>
  <c r="AB154" i="55" s="1"/>
  <c r="BC5" i="16"/>
  <c r="I4" i="84" s="1"/>
  <c r="BD8" i="16"/>
  <c r="AB94" i="55" s="1"/>
  <c r="BE10" i="16"/>
  <c r="AD154" i="55" s="1"/>
  <c r="BD5" i="16"/>
  <c r="BA6" i="16"/>
  <c r="BE8" i="16"/>
  <c r="BA9" i="16"/>
  <c r="BE5" i="16"/>
  <c r="AD4" i="55" s="1"/>
  <c r="BB6" i="16"/>
  <c r="X34" i="55" s="1"/>
  <c r="BB9" i="16"/>
  <c r="X124" i="55" s="1"/>
  <c r="BC6" i="16"/>
  <c r="Z34" i="55" s="1"/>
  <c r="BA7" i="16"/>
  <c r="BJ7" i="16" s="1"/>
  <c r="BC9" i="16"/>
  <c r="BD6" i="16"/>
  <c r="BB7" i="16"/>
  <c r="BD9" i="16"/>
  <c r="AB124" i="55" s="1"/>
  <c r="BA10" i="16"/>
  <c r="BE6" i="16"/>
  <c r="BC7" i="16"/>
  <c r="BA8" i="16"/>
  <c r="BE9" i="16"/>
  <c r="AD124" i="55" s="1"/>
  <c r="BB10" i="16"/>
  <c r="BA5" i="16"/>
  <c r="BD7" i="16"/>
  <c r="AB64" i="55" s="1"/>
  <c r="BB8" i="16"/>
  <c r="AG8" i="16"/>
  <c r="AG5" i="16"/>
  <c r="AG9" i="16"/>
  <c r="V124" i="53" s="1"/>
  <c r="AG10" i="16"/>
  <c r="AH5" i="16"/>
  <c r="X4" i="53" s="1"/>
  <c r="AH10" i="16"/>
  <c r="X154" i="53"/>
  <c r="AI5" i="16"/>
  <c r="I4" i="45" s="1"/>
  <c r="AI9" i="16"/>
  <c r="AJ9" i="16"/>
  <c r="AB124" i="53" s="1"/>
  <c r="AJ10" i="16"/>
  <c r="AB154" i="53" s="1"/>
  <c r="AK9" i="16"/>
  <c r="AD124" i="53" s="1"/>
  <c r="N6" i="16"/>
  <c r="G33" i="41"/>
  <c r="M8" i="16"/>
  <c r="O9" i="16"/>
  <c r="Z124" i="52" s="1"/>
  <c r="O6" i="16"/>
  <c r="N8" i="16"/>
  <c r="X94" i="52" s="1"/>
  <c r="P9" i="16"/>
  <c r="AB124" i="52"/>
  <c r="M5" i="16"/>
  <c r="V4" i="52" s="1"/>
  <c r="P6" i="16"/>
  <c r="O8" i="16"/>
  <c r="Z94" i="52"/>
  <c r="Q9" i="16"/>
  <c r="AD124" i="52" s="1"/>
  <c r="B60" i="41"/>
  <c r="N5" i="16"/>
  <c r="N11" i="16" s="1"/>
  <c r="Q6" i="16"/>
  <c r="M7" i="16"/>
  <c r="P8" i="16"/>
  <c r="AB94" i="52"/>
  <c r="M10" i="16"/>
  <c r="V154" i="52" s="1"/>
  <c r="O5" i="16"/>
  <c r="N7" i="16"/>
  <c r="Q8" i="16"/>
  <c r="N10" i="16"/>
  <c r="P5" i="16"/>
  <c r="K64" i="59" s="1"/>
  <c r="O7" i="16"/>
  <c r="Z64" i="52" s="1"/>
  <c r="O10" i="16"/>
  <c r="Q5" i="16"/>
  <c r="P7" i="16"/>
  <c r="AB64" i="52" s="1"/>
  <c r="M9" i="16"/>
  <c r="V124" i="52" s="1"/>
  <c r="P10" i="16"/>
  <c r="AB154" i="52" s="1"/>
  <c r="M6" i="16"/>
  <c r="V34" i="52" s="1"/>
  <c r="Q7" i="16"/>
  <c r="AD64" i="52" s="1"/>
  <c r="N9" i="16"/>
  <c r="AA53" i="57"/>
  <c r="J53" i="57"/>
  <c r="J52" i="57"/>
  <c r="AA143" i="58"/>
  <c r="J143" i="58" s="1"/>
  <c r="J142" i="58"/>
  <c r="U83" i="58"/>
  <c r="D83" i="58" s="1"/>
  <c r="D82" i="58"/>
  <c r="AA143" i="52"/>
  <c r="J143" i="52" s="1"/>
  <c r="AA83" i="58"/>
  <c r="J83" i="58" s="1"/>
  <c r="W115" i="58"/>
  <c r="X97" i="58" s="1"/>
  <c r="J52" i="52"/>
  <c r="AA57" i="57"/>
  <c r="AB43" i="57" s="1"/>
  <c r="K43" i="57" s="1"/>
  <c r="AA56" i="57"/>
  <c r="AB40" i="57" s="1"/>
  <c r="K40" i="57" s="1"/>
  <c r="AA58" i="57"/>
  <c r="J58" i="57" s="1"/>
  <c r="AA55" i="57"/>
  <c r="AB37" i="57" s="1"/>
  <c r="K37" i="57" s="1"/>
  <c r="D142" i="57"/>
  <c r="Y85" i="52"/>
  <c r="Y87" i="52"/>
  <c r="Z73" i="52" s="1"/>
  <c r="I73" i="52" s="1"/>
  <c r="Y86" i="52"/>
  <c r="Z70" i="52" s="1"/>
  <c r="I70" i="52" s="1"/>
  <c r="H82" i="52"/>
  <c r="Y115" i="53"/>
  <c r="H115" i="53" s="1"/>
  <c r="Y118" i="53"/>
  <c r="Y116" i="53"/>
  <c r="Y113" i="53"/>
  <c r="H113" i="53" s="1"/>
  <c r="Y113" i="55"/>
  <c r="H113" i="55" s="1"/>
  <c r="AA117" i="59"/>
  <c r="AA116" i="59"/>
  <c r="AB100" i="59" s="1"/>
  <c r="K100" i="59" s="1"/>
  <c r="AC55" i="58"/>
  <c r="L55" i="58" s="1"/>
  <c r="B32" i="85"/>
  <c r="J51" i="85"/>
  <c r="J52" i="85" s="1"/>
  <c r="F51" i="85"/>
  <c r="F52" i="85" s="1"/>
  <c r="D51" i="85"/>
  <c r="D52" i="85" s="1"/>
  <c r="L51" i="85"/>
  <c r="L52" i="85" s="1"/>
  <c r="H51" i="85"/>
  <c r="H52" i="85" s="1"/>
  <c r="AA118" i="52"/>
  <c r="J118" i="52" s="1"/>
  <c r="AA116" i="52"/>
  <c r="AB100" i="52" s="1"/>
  <c r="K100" i="52" s="1"/>
  <c r="W175" i="52"/>
  <c r="W178" i="52"/>
  <c r="F178" i="52" s="1"/>
  <c r="W177" i="52"/>
  <c r="F177" i="52" s="1"/>
  <c r="AC87" i="53"/>
  <c r="L87" i="53" s="1"/>
  <c r="AC86" i="53"/>
  <c r="L51" i="41"/>
  <c r="L52" i="41" s="1"/>
  <c r="F51" i="41"/>
  <c r="F52" i="41" s="1"/>
  <c r="J51" i="41"/>
  <c r="J52" i="41" s="1"/>
  <c r="B32" i="41"/>
  <c r="H51" i="41"/>
  <c r="H52" i="41"/>
  <c r="D51" i="41"/>
  <c r="D52" i="41" s="1"/>
  <c r="B32" i="86"/>
  <c r="L51" i="86"/>
  <c r="L52" i="86" s="1"/>
  <c r="B60" i="86"/>
  <c r="F80" i="86"/>
  <c r="F81" i="86" s="1"/>
  <c r="I62" i="86"/>
  <c r="D51" i="87"/>
  <c r="D52" i="87" s="1"/>
  <c r="H51" i="87"/>
  <c r="H52" i="87" s="1"/>
  <c r="F51" i="86"/>
  <c r="F52" i="86" s="1"/>
  <c r="D51" i="45"/>
  <c r="D52" i="45"/>
  <c r="B32" i="87"/>
  <c r="B32" i="45"/>
  <c r="J52" i="53"/>
  <c r="Y83" i="53"/>
  <c r="H83" i="53" s="1"/>
  <c r="AA173" i="53"/>
  <c r="J173" i="53" s="1"/>
  <c r="Y83" i="55"/>
  <c r="H83" i="55" s="1"/>
  <c r="H22" i="53"/>
  <c r="AC145" i="52"/>
  <c r="AD127" i="52" s="1"/>
  <c r="AC148" i="52"/>
  <c r="L148" i="52" s="1"/>
  <c r="J52" i="58"/>
  <c r="AA53" i="58"/>
  <c r="J53" i="58" s="1"/>
  <c r="AC113" i="59"/>
  <c r="L113" i="59" s="1"/>
  <c r="L112" i="59"/>
  <c r="W176" i="55"/>
  <c r="X160" i="55" s="1"/>
  <c r="G160" i="55" s="1"/>
  <c r="AC143" i="57"/>
  <c r="L143" i="57" s="1"/>
  <c r="W177" i="59"/>
  <c r="H172" i="58"/>
  <c r="H112" i="59"/>
  <c r="W143" i="52"/>
  <c r="F143" i="52" s="1"/>
  <c r="F142" i="52"/>
  <c r="AA173" i="52"/>
  <c r="J173" i="52" s="1"/>
  <c r="J172" i="52"/>
  <c r="W113" i="55"/>
  <c r="F113" i="55" s="1"/>
  <c r="F112" i="55"/>
  <c r="AA146" i="53"/>
  <c r="J146" i="53" s="1"/>
  <c r="J112" i="52"/>
  <c r="F172" i="53"/>
  <c r="W173" i="53"/>
  <c r="F173" i="53" s="1"/>
  <c r="AC173" i="58"/>
  <c r="L173" i="58" s="1"/>
  <c r="W83" i="59"/>
  <c r="F83" i="59" s="1"/>
  <c r="F82" i="59"/>
  <c r="F172" i="57"/>
  <c r="W173" i="57"/>
  <c r="F173" i="57" s="1"/>
  <c r="F139" i="52"/>
  <c r="N46" i="52"/>
  <c r="AC83" i="53"/>
  <c r="L83" i="53" s="1"/>
  <c r="U173" i="57"/>
  <c r="D173" i="57" s="1"/>
  <c r="N38" i="53"/>
  <c r="N74" i="52"/>
  <c r="F51" i="87"/>
  <c r="F52" i="87" s="1"/>
  <c r="B60" i="87"/>
  <c r="J51" i="86"/>
  <c r="J52" i="86" s="1"/>
  <c r="L51" i="87"/>
  <c r="L52" i="87" s="1"/>
  <c r="N167" i="53"/>
  <c r="BG9" i="59"/>
  <c r="BO11" i="59"/>
  <c r="BG15" i="59"/>
  <c r="BT48" i="59"/>
  <c r="BT69" i="59"/>
  <c r="BS69" i="59"/>
  <c r="BS75" i="59"/>
  <c r="BT101" i="59"/>
  <c r="BS101" i="59"/>
  <c r="BG157" i="59"/>
  <c r="BG162" i="59"/>
  <c r="BF41" i="59"/>
  <c r="BT41" i="59"/>
  <c r="BS41" i="59"/>
  <c r="BS74" i="59"/>
  <c r="BT74" i="59"/>
  <c r="BT75" i="59"/>
  <c r="BO168" i="59"/>
  <c r="BT15" i="59"/>
  <c r="BF18" i="59"/>
  <c r="BO44" i="59"/>
  <c r="BS46" i="59"/>
  <c r="BT47" i="59"/>
  <c r="BF99" i="59"/>
  <c r="BO137" i="59"/>
  <c r="BT137" i="59"/>
  <c r="BS137" i="59"/>
  <c r="BG137" i="59"/>
  <c r="BF137" i="59"/>
  <c r="BG12" i="59"/>
  <c r="BO78" i="59"/>
  <c r="BS78" i="59"/>
  <c r="BT78" i="59"/>
  <c r="BF98" i="59"/>
  <c r="BS18" i="59"/>
  <c r="BO18" i="59"/>
  <c r="BT18" i="59"/>
  <c r="BG39" i="59"/>
  <c r="BO48" i="59"/>
  <c r="BG72" i="59"/>
  <c r="BS72" i="59"/>
  <c r="BF77" i="59"/>
  <c r="BT77" i="59"/>
  <c r="BS77" i="59"/>
  <c r="BS105" i="59"/>
  <c r="BF105" i="59"/>
  <c r="BT105" i="59"/>
  <c r="BG107" i="59"/>
  <c r="BG44" i="59"/>
  <c r="BS44" i="59"/>
  <c r="BO75" i="59"/>
  <c r="BO98" i="59"/>
  <c r="BS98" i="59"/>
  <c r="BT98" i="59"/>
  <c r="BO165" i="59"/>
  <c r="BT165" i="59"/>
  <c r="BS165" i="59"/>
  <c r="BG165" i="59"/>
  <c r="BF165" i="59"/>
  <c r="BS38" i="59"/>
  <c r="BT38" i="59"/>
  <c r="BO41" i="59"/>
  <c r="BT44" i="59"/>
  <c r="BF75" i="59"/>
  <c r="BO129" i="59"/>
  <c r="BT129" i="59"/>
  <c r="BS129" i="59"/>
  <c r="BG129" i="59"/>
  <c r="BF129" i="59"/>
  <c r="BO134" i="59"/>
  <c r="BT135" i="59"/>
  <c r="BG48" i="59"/>
  <c r="BS48" i="59"/>
  <c r="BF135" i="59"/>
  <c r="BG108" i="59"/>
  <c r="BG128" i="59"/>
  <c r="BS134" i="59"/>
  <c r="BO158" i="59"/>
  <c r="BS162" i="59"/>
  <c r="BO131" i="59"/>
  <c r="BS135" i="59"/>
  <c r="BF138" i="59"/>
  <c r="BF158" i="59"/>
  <c r="BT108" i="59"/>
  <c r="BG131" i="59"/>
  <c r="BF132" i="59"/>
  <c r="BG159" i="59"/>
  <c r="BG132" i="59"/>
  <c r="BG9" i="58"/>
  <c r="BO11" i="58"/>
  <c r="BF15" i="58"/>
  <c r="BT68" i="58"/>
  <c r="BF68" i="58"/>
  <c r="BS68" i="58"/>
  <c r="BF70" i="58"/>
  <c r="BG71" i="58"/>
  <c r="BF78" i="58"/>
  <c r="BO99" i="58"/>
  <c r="BO107" i="58"/>
  <c r="BG131" i="58"/>
  <c r="BF131" i="58"/>
  <c r="BO131" i="58"/>
  <c r="BS161" i="58"/>
  <c r="BG161" i="58"/>
  <c r="BT161" i="58"/>
  <c r="BS8" i="58"/>
  <c r="BF11" i="58"/>
  <c r="BO12" i="58"/>
  <c r="BO17" i="58"/>
  <c r="BS17" i="58"/>
  <c r="BG17" i="58"/>
  <c r="BF17" i="58"/>
  <c r="BG46" i="58"/>
  <c r="BG70" i="58"/>
  <c r="BG78" i="58"/>
  <c r="BO101" i="58"/>
  <c r="BS101" i="58"/>
  <c r="BG101" i="58"/>
  <c r="BF101" i="58"/>
  <c r="BT8" i="58"/>
  <c r="BS9" i="58"/>
  <c r="BG11" i="58"/>
  <c r="BF12" i="58"/>
  <c r="BS15" i="58"/>
  <c r="BF38" i="58"/>
  <c r="BF40" i="58"/>
  <c r="BS40" i="58"/>
  <c r="BF42" i="58"/>
  <c r="BF46" i="58"/>
  <c r="BT48" i="58"/>
  <c r="BF48" i="58"/>
  <c r="BS48" i="58"/>
  <c r="BF72" i="58"/>
  <c r="BT72" i="58"/>
  <c r="BF99" i="58"/>
  <c r="BT99" i="58"/>
  <c r="BS105" i="58"/>
  <c r="BO105" i="58"/>
  <c r="BT105" i="58"/>
  <c r="BF107" i="58"/>
  <c r="BT107" i="58"/>
  <c r="BG128" i="58"/>
  <c r="BT9" i="58"/>
  <c r="BG12" i="58"/>
  <c r="BT14" i="58"/>
  <c r="BS14" i="58"/>
  <c r="BG15" i="58"/>
  <c r="BS18" i="58"/>
  <c r="BG44" i="58"/>
  <c r="BS67" i="58"/>
  <c r="BF69" i="58"/>
  <c r="BF75" i="58"/>
  <c r="BF77" i="58"/>
  <c r="BS99" i="58"/>
  <c r="BO100" i="58"/>
  <c r="BS102" i="58"/>
  <c r="BO108" i="58"/>
  <c r="BF128" i="58"/>
  <c r="BT128" i="58"/>
  <c r="BS128" i="58"/>
  <c r="BG18" i="58"/>
  <c r="BF44" i="58"/>
  <c r="BS73" i="58"/>
  <c r="BG75" i="58"/>
  <c r="BO75" i="58"/>
  <c r="BT75" i="58"/>
  <c r="BO98" i="58"/>
  <c r="BG102" i="58"/>
  <c r="BS107" i="58"/>
  <c r="BO129" i="58"/>
  <c r="BS12" i="58"/>
  <c r="BS69" i="58"/>
  <c r="BO69" i="58"/>
  <c r="BT69" i="58"/>
  <c r="BS77" i="58"/>
  <c r="BO77" i="58"/>
  <c r="BT77" i="58"/>
  <c r="BO9" i="58"/>
  <c r="BG39" i="58"/>
  <c r="BO39" i="58"/>
  <c r="BO45" i="58"/>
  <c r="BG47" i="58"/>
  <c r="BT47" i="58"/>
  <c r="BS71" i="58"/>
  <c r="BO72" i="58"/>
  <c r="BG108" i="58"/>
  <c r="BS131" i="58"/>
  <c r="BT17" i="58"/>
  <c r="BF100" i="58"/>
  <c r="BG100" i="58"/>
  <c r="BT101" i="58"/>
  <c r="BF108" i="58"/>
  <c r="BT108" i="58"/>
  <c r="BT138" i="58"/>
  <c r="BS159" i="58"/>
  <c r="BG159" i="58"/>
  <c r="BF159" i="58"/>
  <c r="BO159" i="58"/>
  <c r="BO18" i="58"/>
  <c r="BO38" i="58"/>
  <c r="BO46" i="58"/>
  <c r="BO102" i="58"/>
  <c r="BF129" i="58"/>
  <c r="BO138" i="58"/>
  <c r="BS162" i="58"/>
  <c r="BG129" i="58"/>
  <c r="BG157" i="58"/>
  <c r="BG165" i="58"/>
  <c r="BO167" i="58"/>
  <c r="BO160" i="58"/>
  <c r="BF167" i="58"/>
  <c r="BS129" i="58"/>
  <c r="BT164" i="58"/>
  <c r="BG167" i="58"/>
  <c r="BG168" i="58"/>
  <c r="BT9" i="57"/>
  <c r="BS13" i="57"/>
  <c r="BS18" i="57"/>
  <c r="BG18" i="57"/>
  <c r="BO18" i="57"/>
  <c r="BO39" i="57"/>
  <c r="BO41" i="57"/>
  <c r="BO45" i="57"/>
  <c r="BF69" i="57"/>
  <c r="BF77" i="57"/>
  <c r="BF98" i="57"/>
  <c r="BF100" i="57"/>
  <c r="BF102" i="57"/>
  <c r="BF104" i="57"/>
  <c r="BF106" i="57"/>
  <c r="BF108" i="57"/>
  <c r="BG165" i="57"/>
  <c r="BF71" i="57"/>
  <c r="BT71" i="57"/>
  <c r="BT75" i="57"/>
  <c r="BF75" i="57"/>
  <c r="BG98" i="57"/>
  <c r="BO98" i="57"/>
  <c r="BS98" i="57"/>
  <c r="BS100" i="57"/>
  <c r="BG100" i="57"/>
  <c r="N17" i="97" s="1"/>
  <c r="BS102" i="57"/>
  <c r="BG102" i="57"/>
  <c r="BO102" i="57"/>
  <c r="BS104" i="57"/>
  <c r="BG104" i="57"/>
  <c r="BO104" i="57"/>
  <c r="BG106" i="57"/>
  <c r="BO106" i="57"/>
  <c r="BS106" i="57"/>
  <c r="BO108" i="57"/>
  <c r="BG108" i="57"/>
  <c r="BF159" i="57"/>
  <c r="BT165" i="57"/>
  <c r="BT17" i="57"/>
  <c r="BF17" i="57"/>
  <c r="BS17" i="57"/>
  <c r="BG41" i="57"/>
  <c r="BG45" i="57"/>
  <c r="BG47" i="57"/>
  <c r="BF135" i="57"/>
  <c r="BF8" i="57"/>
  <c r="BO9" i="57"/>
  <c r="BO15" i="57"/>
  <c r="BF41" i="57"/>
  <c r="BT45" i="57"/>
  <c r="BF68" i="57"/>
  <c r="BF74" i="57"/>
  <c r="BF78" i="57"/>
  <c r="BF136" i="57"/>
  <c r="BO136" i="57"/>
  <c r="BG136" i="57"/>
  <c r="BF161" i="57"/>
  <c r="BG8" i="57"/>
  <c r="BF9" i="57"/>
  <c r="BT39" i="57"/>
  <c r="BT47" i="57"/>
  <c r="BO68" i="57"/>
  <c r="BS70" i="57"/>
  <c r="BS74" i="57"/>
  <c r="BG74" i="57"/>
  <c r="BO74" i="57"/>
  <c r="BG78" i="57"/>
  <c r="BO78" i="57"/>
  <c r="BS78" i="57"/>
  <c r="BG105" i="57"/>
  <c r="BG107" i="57"/>
  <c r="BG9" i="57"/>
  <c r="BO13" i="57"/>
  <c r="BG15" i="57"/>
  <c r="BO67" i="57"/>
  <c r="BO71" i="57"/>
  <c r="BO75" i="57"/>
  <c r="BF105" i="57"/>
  <c r="BF128" i="57"/>
  <c r="BF130" i="57"/>
  <c r="BF134" i="57"/>
  <c r="BO159" i="57"/>
  <c r="BT167" i="57"/>
  <c r="BF167" i="57"/>
  <c r="BT168" i="57"/>
  <c r="BS168" i="57"/>
  <c r="BG168" i="57"/>
  <c r="BF168" i="57"/>
  <c r="BO168" i="57"/>
  <c r="BS8" i="57"/>
  <c r="BF103" i="57"/>
  <c r="BF107" i="57"/>
  <c r="BT107" i="57"/>
  <c r="BO128" i="57"/>
  <c r="BG128" i="57"/>
  <c r="BS130" i="57"/>
  <c r="BG130" i="57"/>
  <c r="BO130" i="57"/>
  <c r="BG134" i="57"/>
  <c r="BO134" i="57"/>
  <c r="BS134" i="57"/>
  <c r="BO135" i="57"/>
  <c r="BO14" i="57"/>
  <c r="BS14" i="57"/>
  <c r="BT14" i="57"/>
  <c r="BF18" i="57"/>
  <c r="BS38" i="57"/>
  <c r="BG38" i="57"/>
  <c r="BO38" i="57"/>
  <c r="BO46" i="57"/>
  <c r="BS48" i="57"/>
  <c r="BG48" i="57"/>
  <c r="BO48" i="57"/>
  <c r="BG163" i="57"/>
  <c r="BF163" i="57"/>
  <c r="BF164" i="57"/>
  <c r="BO164" i="57"/>
  <c r="BT164" i="57"/>
  <c r="BS164" i="57"/>
  <c r="BG164" i="57"/>
  <c r="BT41" i="57"/>
  <c r="BF45" i="57"/>
  <c r="BT69" i="57"/>
  <c r="BT77" i="57"/>
  <c r="BT105" i="57"/>
  <c r="BF129" i="57"/>
  <c r="BO138" i="57"/>
  <c r="BT161" i="57"/>
  <c r="BS162" i="57"/>
  <c r="BF165" i="57"/>
  <c r="BG138" i="57"/>
  <c r="BG158" i="57"/>
  <c r="BO161" i="57"/>
  <c r="BO162" i="57"/>
  <c r="BT73" i="55"/>
  <c r="BG73" i="55"/>
  <c r="BF73" i="55"/>
  <c r="BO73" i="55"/>
  <c r="BT38" i="55"/>
  <c r="BF38" i="55"/>
  <c r="BG38" i="55"/>
  <c r="BO38" i="55"/>
  <c r="BG17" i="55"/>
  <c r="BF17" i="55"/>
  <c r="BO17" i="55"/>
  <c r="BT17" i="55"/>
  <c r="BO72" i="55"/>
  <c r="BS68" i="55"/>
  <c r="BF68" i="55"/>
  <c r="BG8" i="55"/>
  <c r="BF9" i="55"/>
  <c r="BF15" i="55"/>
  <c r="BG69" i="55"/>
  <c r="BF69" i="55"/>
  <c r="BT69" i="55"/>
  <c r="BT99" i="55"/>
  <c r="BS103" i="55"/>
  <c r="BF108" i="55"/>
  <c r="BT108" i="55"/>
  <c r="BG108" i="55"/>
  <c r="BF128" i="55"/>
  <c r="BT128" i="55"/>
  <c r="BG128" i="55"/>
  <c r="BO129" i="55"/>
  <c r="BT129" i="55"/>
  <c r="BS129" i="55"/>
  <c r="BG129" i="55"/>
  <c r="BF129" i="55"/>
  <c r="BT135" i="55"/>
  <c r="BS159" i="55"/>
  <c r="BF164" i="55"/>
  <c r="BT164" i="55"/>
  <c r="BG164" i="55"/>
  <c r="BO165" i="55"/>
  <c r="BF165" i="55"/>
  <c r="BG9" i="55"/>
  <c r="BO11" i="55"/>
  <c r="BO71" i="55"/>
  <c r="BF99" i="55"/>
  <c r="BF135" i="55"/>
  <c r="BT7" i="55"/>
  <c r="BS8" i="55"/>
  <c r="M32" i="96"/>
  <c r="BF11" i="55"/>
  <c r="BO12" i="55"/>
  <c r="BO15" i="55"/>
  <c r="BS15" i="55"/>
  <c r="BT15" i="55"/>
  <c r="BT37" i="55"/>
  <c r="BG41" i="55"/>
  <c r="BF41" i="55"/>
  <c r="BT41" i="55"/>
  <c r="BT45" i="55"/>
  <c r="BG45" i="55"/>
  <c r="BF45" i="55"/>
  <c r="BO68" i="55"/>
  <c r="BO99" i="55"/>
  <c r="BT104" i="55"/>
  <c r="BG104" i="55"/>
  <c r="BF104" i="55"/>
  <c r="BS105" i="55"/>
  <c r="BG105" i="55"/>
  <c r="BF105" i="55"/>
  <c r="BO105" i="55"/>
  <c r="BT105" i="55"/>
  <c r="BO135" i="55"/>
  <c r="BS161" i="55"/>
  <c r="BG161" i="55"/>
  <c r="BF161" i="55"/>
  <c r="BO161" i="55"/>
  <c r="BO168" i="55"/>
  <c r="BG11" i="55"/>
  <c r="BF75" i="55"/>
  <c r="BF131" i="55"/>
  <c r="BS157" i="55"/>
  <c r="BS10" i="55"/>
  <c r="BF70" i="55"/>
  <c r="BO70" i="55"/>
  <c r="BS70" i="55"/>
  <c r="BS101" i="55"/>
  <c r="BG101" i="55"/>
  <c r="BF101" i="55"/>
  <c r="BF136" i="55"/>
  <c r="BO137" i="55"/>
  <c r="BT137" i="55"/>
  <c r="BS137" i="55"/>
  <c r="BG137" i="55"/>
  <c r="BF137" i="55"/>
  <c r="BO7" i="55"/>
  <c r="BS11" i="55"/>
  <c r="BT18" i="55"/>
  <c r="BF18" i="55"/>
  <c r="BS18" i="55"/>
  <c r="BS39" i="55"/>
  <c r="BO39" i="55"/>
  <c r="BT39" i="55"/>
  <c r="BF42" i="55"/>
  <c r="BO42" i="55"/>
  <c r="BT42" i="55"/>
  <c r="BS42" i="55"/>
  <c r="BG68" i="55"/>
  <c r="BS77" i="55"/>
  <c r="BG77" i="55"/>
  <c r="BF77" i="55"/>
  <c r="BO77" i="55"/>
  <c r="BT77" i="55"/>
  <c r="BO104" i="55"/>
  <c r="BT132" i="55"/>
  <c r="BG132" i="55"/>
  <c r="BF132" i="55"/>
  <c r="BT159" i="55"/>
  <c r="BT168" i="55"/>
  <c r="BG168" i="55"/>
  <c r="BF168" i="55"/>
  <c r="BO74" i="55"/>
  <c r="BS78" i="55"/>
  <c r="BS98" i="55"/>
  <c r="BO102" i="55"/>
  <c r="BS134" i="55"/>
  <c r="BO138" i="55"/>
  <c r="BO158" i="55"/>
  <c r="BO166" i="55"/>
  <c r="BO67" i="55"/>
  <c r="BS71" i="55"/>
  <c r="BF74" i="55"/>
  <c r="BO75" i="55"/>
  <c r="BT78" i="55"/>
  <c r="BT98" i="55"/>
  <c r="BS99" i="55"/>
  <c r="BF102" i="55"/>
  <c r="BO103" i="55"/>
  <c r="BS107" i="55"/>
  <c r="BO131" i="55"/>
  <c r="BT134" i="55"/>
  <c r="BS135" i="55"/>
  <c r="BF138" i="55"/>
  <c r="BF158" i="55"/>
  <c r="BO159" i="55"/>
  <c r="BF166" i="55"/>
  <c r="BS74" i="55"/>
  <c r="BO78" i="55"/>
  <c r="BO98" i="55"/>
  <c r="BS102" i="55"/>
  <c r="BO134" i="55"/>
  <c r="BS138" i="55"/>
  <c r="BS158" i="55"/>
  <c r="BS166" i="55"/>
  <c r="BF8" i="53"/>
  <c r="BO9" i="53"/>
  <c r="BS38" i="53"/>
  <c r="BO38" i="53"/>
  <c r="BT38" i="53"/>
  <c r="BF42" i="53"/>
  <c r="BO68" i="53"/>
  <c r="BG102" i="53"/>
  <c r="BT104" i="53"/>
  <c r="BG104" i="53"/>
  <c r="BF104" i="53"/>
  <c r="BF108" i="53"/>
  <c r="BT108" i="53"/>
  <c r="BG108" i="53"/>
  <c r="BG159" i="53"/>
  <c r="BG8" i="53"/>
  <c r="BF9" i="53"/>
  <c r="BF15" i="53"/>
  <c r="BF37" i="53"/>
  <c r="BS37" i="53"/>
  <c r="BF47" i="53"/>
  <c r="BS47" i="53"/>
  <c r="BG71" i="53"/>
  <c r="BG75" i="53"/>
  <c r="BS102" i="53"/>
  <c r="BF131" i="53"/>
  <c r="BS131" i="53"/>
  <c r="BF135" i="53"/>
  <c r="BS135" i="53"/>
  <c r="BO137" i="53"/>
  <c r="BT137" i="53"/>
  <c r="BS137" i="53"/>
  <c r="BF137" i="53"/>
  <c r="BF158" i="53"/>
  <c r="BF162" i="53"/>
  <c r="BG9" i="53"/>
  <c r="BO42" i="53"/>
  <c r="BS42" i="53"/>
  <c r="BT42" i="53"/>
  <c r="BT47" i="53"/>
  <c r="BO99" i="53"/>
  <c r="BT131" i="53"/>
  <c r="BT135" i="53"/>
  <c r="BG158" i="53"/>
  <c r="BG162" i="53"/>
  <c r="BF164" i="53"/>
  <c r="BT164" i="53"/>
  <c r="BG164" i="53"/>
  <c r="BT168" i="53"/>
  <c r="BG168" i="53"/>
  <c r="BF168" i="53"/>
  <c r="BF11" i="53"/>
  <c r="BO12" i="53"/>
  <c r="BT68" i="53"/>
  <c r="BG68" i="53"/>
  <c r="BF68" i="53"/>
  <c r="BG70" i="53"/>
  <c r="BF72" i="53"/>
  <c r="BG74" i="53"/>
  <c r="BG78" i="53"/>
  <c r="BS9" i="53"/>
  <c r="BF12" i="53"/>
  <c r="BT14" i="53"/>
  <c r="BO17" i="53"/>
  <c r="BF18" i="53"/>
  <c r="BO70" i="53"/>
  <c r="BS74" i="53"/>
  <c r="BO78" i="53"/>
  <c r="BF99" i="53"/>
  <c r="BS99" i="53"/>
  <c r="BO101" i="53"/>
  <c r="BS105" i="53"/>
  <c r="BF105" i="53"/>
  <c r="BO105" i="53"/>
  <c r="BT105" i="53"/>
  <c r="BF107" i="53"/>
  <c r="BS107" i="53"/>
  <c r="BF134" i="53"/>
  <c r="BO159" i="53"/>
  <c r="BO167" i="53"/>
  <c r="BG12" i="53"/>
  <c r="BT45" i="53"/>
  <c r="BF45" i="53"/>
  <c r="BS45" i="53"/>
  <c r="BO71" i="53"/>
  <c r="BO75" i="53"/>
  <c r="BG128" i="53"/>
  <c r="BT132" i="53"/>
  <c r="BG132" i="53"/>
  <c r="BF132" i="53"/>
  <c r="BG134" i="53"/>
  <c r="BG138" i="53"/>
  <c r="BS18" i="53"/>
  <c r="BO18" i="53"/>
  <c r="BT18" i="53"/>
  <c r="BT48" i="53"/>
  <c r="BG48" i="53"/>
  <c r="BF48" i="53"/>
  <c r="BG99" i="53"/>
  <c r="BG107" i="53"/>
  <c r="BT161" i="53"/>
  <c r="BO165" i="53"/>
  <c r="BT165" i="53"/>
  <c r="BS165" i="53"/>
  <c r="BF165" i="53"/>
  <c r="BT17" i="53"/>
  <c r="BS17" i="53"/>
  <c r="BF69" i="53"/>
  <c r="BS77" i="53"/>
  <c r="BF77" i="53"/>
  <c r="BT77" i="53"/>
  <c r="BO131" i="53"/>
  <c r="BO74" i="53"/>
  <c r="BS78" i="53"/>
  <c r="BO102" i="53"/>
  <c r="BS134" i="53"/>
  <c r="BO138" i="53"/>
  <c r="BO158" i="53"/>
  <c r="BS162" i="53"/>
  <c r="BO158" i="52"/>
  <c r="BT161" i="52"/>
  <c r="BS162" i="52"/>
  <c r="BG164" i="52"/>
  <c r="BF165" i="52"/>
  <c r="BO159" i="52"/>
  <c r="BG165" i="52"/>
  <c r="BO167" i="52"/>
  <c r="BG158" i="52"/>
  <c r="BF159" i="52"/>
  <c r="BF167" i="52"/>
  <c r="BO168" i="52"/>
  <c r="BG159" i="52"/>
  <c r="BO161" i="52"/>
  <c r="BS165" i="52"/>
  <c r="BG167" i="52"/>
  <c r="BF168" i="52"/>
  <c r="BS158" i="52"/>
  <c r="BG168" i="52"/>
  <c r="BF127" i="52"/>
  <c r="BO129" i="52"/>
  <c r="BF129" i="52"/>
  <c r="BS134" i="52"/>
  <c r="BO138" i="52"/>
  <c r="BG129" i="52"/>
  <c r="BT134" i="52"/>
  <c r="BF138" i="52"/>
  <c r="BG138" i="52"/>
  <c r="BO134" i="52"/>
  <c r="BS138" i="52"/>
  <c r="BF97" i="52"/>
  <c r="BO99" i="52"/>
  <c r="BG105" i="52"/>
  <c r="BF100" i="52"/>
  <c r="BS105" i="52"/>
  <c r="BT71" i="52"/>
  <c r="BS72" i="52"/>
  <c r="BF75" i="52"/>
  <c r="BF68" i="52"/>
  <c r="BS73" i="52"/>
  <c r="BG68" i="52"/>
  <c r="BS67" i="52"/>
  <c r="BS75" i="52"/>
  <c r="BF71" i="52"/>
  <c r="BT75" i="52"/>
  <c r="BG71" i="52"/>
  <c r="BO38" i="52"/>
  <c r="BS42" i="52"/>
  <c r="BO46" i="52"/>
  <c r="BF38" i="52"/>
  <c r="BO39" i="52"/>
  <c r="BS43" i="52"/>
  <c r="BF46" i="52"/>
  <c r="BO47" i="52"/>
  <c r="BG38" i="52"/>
  <c r="BF39" i="52"/>
  <c r="BO40" i="52"/>
  <c r="BS44" i="52"/>
  <c r="BG46" i="52"/>
  <c r="BF47" i="52"/>
  <c r="BO48" i="52"/>
  <c r="BG39" i="52"/>
  <c r="BF40" i="52"/>
  <c r="BG47" i="52"/>
  <c r="BF48" i="52"/>
  <c r="BO42" i="52"/>
  <c r="BG48" i="52"/>
  <c r="BS39" i="52"/>
  <c r="BS47" i="52"/>
  <c r="BS40" i="52"/>
  <c r="BF18" i="52"/>
  <c r="BO17" i="52"/>
  <c r="BT18" i="52"/>
  <c r="BT12" i="52"/>
  <c r="BT14" i="52"/>
  <c r="BG17" i="52"/>
  <c r="BT15" i="52"/>
  <c r="BF10" i="52"/>
  <c r="BO18" i="52"/>
  <c r="BG18" i="52"/>
  <c r="BS18" i="52"/>
  <c r="BF17" i="52"/>
  <c r="BS17" i="52"/>
  <c r="BO15" i="52"/>
  <c r="BF15" i="52"/>
  <c r="BO14" i="52"/>
  <c r="BG14" i="52"/>
  <c r="BS14" i="52"/>
  <c r="BO12" i="52"/>
  <c r="BF12" i="52"/>
  <c r="BG12" i="52"/>
  <c r="BS12" i="52"/>
  <c r="BO10" i="52"/>
  <c r="BG10" i="52"/>
  <c r="BF9" i="52"/>
  <c r="BO8" i="52"/>
  <c r="BF8" i="52"/>
  <c r="BG8" i="52"/>
  <c r="N132" i="52"/>
  <c r="BO134" i="53"/>
  <c r="BF136" i="53"/>
  <c r="BG136" i="53"/>
  <c r="N130" i="53"/>
  <c r="BG133" i="53"/>
  <c r="BS136" i="53"/>
  <c r="BS132" i="53"/>
  <c r="BO135" i="53"/>
  <c r="BO136" i="53"/>
  <c r="BT134" i="53"/>
  <c r="BO132" i="53"/>
  <c r="BO104" i="53"/>
  <c r="BO107" i="53"/>
  <c r="BT99" i="53"/>
  <c r="BG105" i="53"/>
  <c r="BF102" i="53"/>
  <c r="BT98" i="53"/>
  <c r="N102" i="53"/>
  <c r="BT74" i="53"/>
  <c r="BF75" i="53"/>
  <c r="BF74" i="53"/>
  <c r="BS71" i="53"/>
  <c r="BF71" i="53"/>
  <c r="BT70" i="53"/>
  <c r="BF70" i="53"/>
  <c r="BG69" i="53"/>
  <c r="BS68" i="53"/>
  <c r="BE74" i="53"/>
  <c r="BS67" i="53"/>
  <c r="BG42" i="53"/>
  <c r="BO48" i="53"/>
  <c r="BO37" i="53"/>
  <c r="BG37" i="53"/>
  <c r="BS39" i="53"/>
  <c r="BO47" i="53"/>
  <c r="BO45" i="53"/>
  <c r="BS48" i="53"/>
  <c r="BG45" i="53"/>
  <c r="BG38" i="53"/>
  <c r="BS8" i="53"/>
  <c r="BT9" i="53"/>
  <c r="BF14" i="53"/>
  <c r="BG14" i="53"/>
  <c r="BO8" i="53"/>
  <c r="BT8" i="53"/>
  <c r="BS15" i="53"/>
  <c r="BF134" i="52"/>
  <c r="BT129" i="52"/>
  <c r="BS129" i="52"/>
  <c r="BF132" i="52"/>
  <c r="BG134" i="52"/>
  <c r="N128" i="52"/>
  <c r="BO97" i="52"/>
  <c r="BF105" i="52"/>
  <c r="BT74" i="52"/>
  <c r="BS74" i="52"/>
  <c r="N75" i="52"/>
  <c r="BG72" i="52"/>
  <c r="BF74" i="52"/>
  <c r="BT68" i="52"/>
  <c r="BO73" i="52"/>
  <c r="BF73" i="52"/>
  <c r="BO67" i="52"/>
  <c r="BO74" i="52"/>
  <c r="N71" i="52"/>
  <c r="BG42" i="52"/>
  <c r="BT42" i="52"/>
  <c r="BT39" i="52"/>
  <c r="BO43" i="52"/>
  <c r="BT40" i="52"/>
  <c r="BT38" i="52"/>
  <c r="BS38" i="52"/>
  <c r="BF42" i="52"/>
  <c r="BE12" i="52"/>
  <c r="N12" i="52"/>
  <c r="BT8" i="52"/>
  <c r="BS8" i="52"/>
  <c r="N8" i="52"/>
  <c r="BE8" i="52"/>
  <c r="F172" i="58"/>
  <c r="AC53" i="59"/>
  <c r="L53" i="59" s="1"/>
  <c r="Y53" i="57"/>
  <c r="H53" i="57" s="1"/>
  <c r="H52" i="57"/>
  <c r="AA143" i="57"/>
  <c r="J143" i="57" s="1"/>
  <c r="J142" i="57"/>
  <c r="H52" i="53"/>
  <c r="Y53" i="53"/>
  <c r="H53" i="53" s="1"/>
  <c r="W113" i="59"/>
  <c r="F113" i="59" s="1"/>
  <c r="F112" i="59"/>
  <c r="BQ7" i="59"/>
  <c r="BQ8" i="59" s="1"/>
  <c r="BQ9" i="59" s="1"/>
  <c r="BQ10" i="59" s="1"/>
  <c r="BQ11" i="59" s="1"/>
  <c r="BQ12" i="59" s="1"/>
  <c r="BQ13" i="59" s="1"/>
  <c r="BQ14" i="59" s="1"/>
  <c r="BQ15" i="59" s="1"/>
  <c r="BQ16" i="59" s="1"/>
  <c r="BQ17" i="59" s="1"/>
  <c r="BQ18" i="59" s="1"/>
  <c r="D2" i="85"/>
  <c r="E8" i="92" s="1"/>
  <c r="V122" i="57"/>
  <c r="E122" i="57" s="1"/>
  <c r="V152" i="58"/>
  <c r="E152" i="58"/>
  <c r="BT165" i="52"/>
  <c r="BF158" i="52"/>
  <c r="BS163" i="52"/>
  <c r="BT162" i="52"/>
  <c r="BO164" i="52"/>
  <c r="BS161" i="52"/>
  <c r="BO162" i="52"/>
  <c r="BF162" i="52"/>
  <c r="BS167" i="52"/>
  <c r="BO105" i="52"/>
  <c r="BT105" i="52"/>
  <c r="BS100" i="52"/>
  <c r="BG75" i="52"/>
  <c r="BG74" i="52"/>
  <c r="BG73" i="52"/>
  <c r="BS15" i="52"/>
  <c r="BS9" i="52"/>
  <c r="BO9" i="52"/>
  <c r="BT9" i="52"/>
  <c r="BG13" i="52"/>
  <c r="BO13" i="52"/>
  <c r="BG9" i="52"/>
  <c r="N13" i="52"/>
  <c r="BF167" i="53"/>
  <c r="BT159" i="53"/>
  <c r="BT162" i="53"/>
  <c r="BO162" i="53"/>
  <c r="BG161" i="53"/>
  <c r="BS159" i="53"/>
  <c r="BO164" i="53"/>
  <c r="BS158" i="53"/>
  <c r="BS164" i="53"/>
  <c r="N164" i="53"/>
  <c r="BT158" i="53"/>
  <c r="BS167" i="53"/>
  <c r="BG135" i="53"/>
  <c r="BO128" i="53"/>
  <c r="BF138" i="53"/>
  <c r="BT71" i="53"/>
  <c r="N47" i="53"/>
  <c r="BT158" i="55"/>
  <c r="BG157" i="55"/>
  <c r="BS164" i="55"/>
  <c r="BG159" i="55"/>
  <c r="BG158" i="55"/>
  <c r="BG166" i="55"/>
  <c r="BG167" i="55"/>
  <c r="BF159" i="55"/>
  <c r="BO164" i="55"/>
  <c r="BF134" i="55"/>
  <c r="BO128" i="55"/>
  <c r="BO132" i="55"/>
  <c r="BS128" i="55"/>
  <c r="BG134" i="55"/>
  <c r="BS131" i="55"/>
  <c r="N133" i="55"/>
  <c r="BG99" i="55"/>
  <c r="N104" i="55"/>
  <c r="BG103" i="55"/>
  <c r="BG100" i="55"/>
  <c r="BT100" i="55"/>
  <c r="BO100" i="55"/>
  <c r="BF100" i="55"/>
  <c r="BF98" i="55"/>
  <c r="BF103" i="55"/>
  <c r="BF107" i="55"/>
  <c r="BT107" i="55"/>
  <c r="BO107" i="55"/>
  <c r="N107" i="55"/>
  <c r="BG98" i="55"/>
  <c r="BO69" i="55"/>
  <c r="BS69" i="55"/>
  <c r="BF72" i="55"/>
  <c r="BG74" i="55"/>
  <c r="BS72" i="55"/>
  <c r="BG72" i="55"/>
  <c r="BT71" i="55"/>
  <c r="BG71" i="55"/>
  <c r="N74" i="55"/>
  <c r="BF71" i="55"/>
  <c r="BS75" i="55"/>
  <c r="BG44" i="55"/>
  <c r="BS45" i="55"/>
  <c r="BS44" i="55"/>
  <c r="BF39" i="55"/>
  <c r="BF44" i="55"/>
  <c r="BT44" i="55"/>
  <c r="BS38" i="55"/>
  <c r="BG42" i="55"/>
  <c r="BO45" i="55"/>
  <c r="BT47" i="55"/>
  <c r="BS41" i="55"/>
  <c r="N18" i="55"/>
  <c r="BS12" i="55"/>
  <c r="BT9" i="55"/>
  <c r="BS9" i="55"/>
  <c r="BO18" i="55"/>
  <c r="BG12" i="55"/>
  <c r="BF8" i="55"/>
  <c r="BO8" i="55"/>
  <c r="BF12" i="55"/>
  <c r="BT12" i="55"/>
  <c r="BG15" i="55"/>
  <c r="BT8" i="55"/>
  <c r="BS7" i="55"/>
  <c r="M29" i="96"/>
  <c r="BF160" i="55"/>
  <c r="BO160" i="55"/>
  <c r="BG160" i="55"/>
  <c r="BS160" i="55"/>
  <c r="BO157" i="55"/>
  <c r="BF157" i="55"/>
  <c r="BO136" i="55"/>
  <c r="BS136" i="55"/>
  <c r="BG136" i="55"/>
  <c r="BS47" i="55"/>
  <c r="BO47" i="55"/>
  <c r="BF47" i="55"/>
  <c r="BG47" i="55"/>
  <c r="BO44" i="55"/>
  <c r="N44" i="55"/>
  <c r="N41" i="55"/>
  <c r="BO41" i="55"/>
  <c r="BF37" i="55"/>
  <c r="N16" i="55"/>
  <c r="AE19" i="55"/>
  <c r="BB20" i="55"/>
  <c r="BG7" i="55"/>
  <c r="BF7" i="55"/>
  <c r="BS166" i="53"/>
  <c r="BO166" i="53"/>
  <c r="BE101" i="53"/>
  <c r="D79" i="53"/>
  <c r="BG163" i="52"/>
  <c r="J109" i="52"/>
  <c r="BF14" i="52"/>
  <c r="N14" i="52"/>
  <c r="V32" i="58"/>
  <c r="E32" i="58" s="1"/>
  <c r="N68" i="52"/>
  <c r="BE68" i="52"/>
  <c r="BE37" i="53"/>
  <c r="Z94" i="55"/>
  <c r="AB34" i="55"/>
  <c r="V94" i="55"/>
  <c r="M124" i="57"/>
  <c r="M64" i="57"/>
  <c r="E4" i="85"/>
  <c r="M124" i="59"/>
  <c r="D82" i="52"/>
  <c r="BE165" i="55"/>
  <c r="N165" i="55"/>
  <c r="BE17" i="57"/>
  <c r="N17" i="57"/>
  <c r="BE69" i="57"/>
  <c r="N69" i="57"/>
  <c r="BE137" i="57"/>
  <c r="N137" i="57"/>
  <c r="BE77" i="58"/>
  <c r="N77" i="58"/>
  <c r="BE17" i="59"/>
  <c r="N17" i="59"/>
  <c r="BE103" i="59"/>
  <c r="BT132" i="59"/>
  <c r="BS132" i="59"/>
  <c r="F112" i="58"/>
  <c r="W116" i="58"/>
  <c r="X100" i="58" s="1"/>
  <c r="G100" i="58" s="1"/>
  <c r="BG77" i="59"/>
  <c r="BO77" i="59"/>
  <c r="L172" i="57"/>
  <c r="J112" i="59"/>
  <c r="N99" i="55"/>
  <c r="BE99" i="55"/>
  <c r="B3" i="59"/>
  <c r="BE105" i="53"/>
  <c r="N105" i="53"/>
  <c r="BE72" i="55"/>
  <c r="N72" i="55"/>
  <c r="G4" i="41"/>
  <c r="G124" i="57"/>
  <c r="B3" i="55"/>
  <c r="U113" i="57"/>
  <c r="D113" i="57" s="1"/>
  <c r="G94" i="53"/>
  <c r="M124" i="53"/>
  <c r="I154" i="53"/>
  <c r="G34" i="59"/>
  <c r="D52" i="55"/>
  <c r="G124" i="53"/>
  <c r="G4" i="53"/>
  <c r="G4" i="57"/>
  <c r="G4" i="59"/>
  <c r="B89" i="85"/>
  <c r="N157" i="55"/>
  <c r="BX6" i="16"/>
  <c r="AB34" i="57"/>
  <c r="BX7" i="16"/>
  <c r="K62" i="85" s="1"/>
  <c r="BY6" i="16"/>
  <c r="BY8" i="16"/>
  <c r="BY7" i="16"/>
  <c r="AD64" i="57" s="1"/>
  <c r="AC88" i="53"/>
  <c r="G34" i="53"/>
  <c r="S76" i="52"/>
  <c r="B76" i="52" s="1"/>
  <c r="S73" i="53"/>
  <c r="B73" i="53" s="1"/>
  <c r="N165" i="53"/>
  <c r="BE165" i="53"/>
  <c r="BE42" i="52"/>
  <c r="N42" i="52"/>
  <c r="BE11" i="53"/>
  <c r="BT71" i="59"/>
  <c r="BG164" i="58"/>
  <c r="BO164" i="58"/>
  <c r="BT71" i="58"/>
  <c r="BE78" i="55"/>
  <c r="N78" i="55"/>
  <c r="D51" i="86"/>
  <c r="D52" i="86" s="1"/>
  <c r="H51" i="86"/>
  <c r="H52" i="86" s="1"/>
  <c r="CX18" i="16"/>
  <c r="BT131" i="55"/>
  <c r="BG131" i="55"/>
  <c r="BT48" i="57"/>
  <c r="BF48" i="57"/>
  <c r="BS135" i="57"/>
  <c r="BT98" i="58"/>
  <c r="BG75" i="59"/>
  <c r="BG162" i="58"/>
  <c r="BT167" i="58"/>
  <c r="BS167" i="58"/>
  <c r="BS159" i="57"/>
  <c r="BT102" i="55"/>
  <c r="BG102" i="55"/>
  <c r="BS11" i="59"/>
  <c r="BT11" i="59"/>
  <c r="BF158" i="58"/>
  <c r="BO47" i="59"/>
  <c r="F51" i="45"/>
  <c r="F52" i="45"/>
  <c r="J51" i="45"/>
  <c r="J52" i="45" s="1"/>
  <c r="BG102" i="59"/>
  <c r="BG18" i="53"/>
  <c r="BG131" i="53"/>
  <c r="BF14" i="57"/>
  <c r="BG14" i="57"/>
  <c r="BO107" i="57"/>
  <c r="BS129" i="57"/>
  <c r="BS138" i="58"/>
  <c r="BS158" i="58"/>
  <c r="BF42" i="59"/>
  <c r="BS75" i="53"/>
  <c r="BS108" i="53"/>
  <c r="BG18" i="55"/>
  <c r="BT74" i="55"/>
  <c r="BO15" i="58"/>
  <c r="BF105" i="58"/>
  <c r="BG105" i="58"/>
  <c r="BS158" i="59"/>
  <c r="BT48" i="52"/>
  <c r="BS168" i="55"/>
  <c r="BS41" i="57"/>
  <c r="BS105" i="57"/>
  <c r="BT74" i="58"/>
  <c r="BO134" i="58"/>
  <c r="BT134" i="58"/>
  <c r="BG134" i="58"/>
  <c r="BF134" i="58"/>
  <c r="BG38" i="59"/>
  <c r="BF38" i="59"/>
  <c r="BT158" i="59"/>
  <c r="BG103" i="57"/>
  <c r="N9" i="97" s="1"/>
  <c r="BO103" i="57"/>
  <c r="BS72" i="58"/>
  <c r="BG72" i="58"/>
  <c r="H51" i="84"/>
  <c r="H52" i="84" s="1"/>
  <c r="BS168" i="52"/>
  <c r="BT78" i="53"/>
  <c r="BG39" i="55"/>
  <c r="BO17" i="57"/>
  <c r="BG17" i="57"/>
  <c r="BG75" i="57"/>
  <c r="BS103" i="57"/>
  <c r="BF78" i="53"/>
  <c r="BG137" i="53"/>
  <c r="BO77" i="57"/>
  <c r="BG77" i="57"/>
  <c r="BF158" i="57"/>
  <c r="BS167" i="57"/>
  <c r="BT11" i="58"/>
  <c r="BT159" i="58"/>
  <c r="BG78" i="59"/>
  <c r="BS15" i="57"/>
  <c r="BO40" i="58"/>
  <c r="BG42" i="58"/>
  <c r="BT11" i="57"/>
  <c r="BF11" i="57"/>
  <c r="BG11" i="57"/>
  <c r="BS11" i="57"/>
  <c r="BG135" i="58"/>
  <c r="BO135" i="58"/>
  <c r="BS138" i="53"/>
  <c r="BT138" i="53"/>
  <c r="BO9" i="55"/>
  <c r="BO44" i="58"/>
  <c r="BS48" i="55"/>
  <c r="BO69" i="57"/>
  <c r="BS77" i="57"/>
  <c r="BT104" i="57"/>
  <c r="BT137" i="57"/>
  <c r="BF102" i="58"/>
  <c r="BG17" i="59"/>
  <c r="BG101" i="59"/>
  <c r="BG105" i="59"/>
  <c r="BO132" i="59"/>
  <c r="BG17" i="53"/>
  <c r="BT75" i="55"/>
  <c r="BS161" i="57"/>
  <c r="BG161" i="57"/>
  <c r="BF162" i="58"/>
  <c r="BO162" i="58"/>
  <c r="BF164" i="58"/>
  <c r="BO68" i="59"/>
  <c r="BG162" i="52"/>
  <c r="BF78" i="55"/>
  <c r="BO108" i="55"/>
  <c r="BG162" i="55"/>
  <c r="BT98" i="57"/>
  <c r="BG8" i="58"/>
  <c r="BO68" i="58"/>
  <c r="BO71" i="58"/>
  <c r="BF71" i="58"/>
  <c r="BT131" i="58"/>
  <c r="BF44" i="59"/>
  <c r="BO108" i="53"/>
  <c r="BS107" i="57"/>
  <c r="BS38" i="58"/>
  <c r="BF108" i="59"/>
  <c r="BT15" i="57"/>
  <c r="BT129" i="57"/>
  <c r="BF138" i="57"/>
  <c r="BF98" i="58"/>
  <c r="BG48" i="55"/>
  <c r="BO108" i="59"/>
  <c r="BO48" i="55"/>
  <c r="BO15" i="59"/>
  <c r="BO128" i="59"/>
  <c r="BF166" i="57"/>
  <c r="BG166" i="57"/>
  <c r="N38" i="97" s="1"/>
  <c r="BO166" i="57"/>
  <c r="BO163" i="57"/>
  <c r="N161" i="57"/>
  <c r="BO157" i="57"/>
  <c r="BT157" i="57"/>
  <c r="BF157" i="57"/>
  <c r="BG157" i="57"/>
  <c r="N136" i="57"/>
  <c r="BE103" i="57"/>
  <c r="BT103" i="57" s="1"/>
  <c r="N46" i="57"/>
  <c r="N37" i="57"/>
  <c r="N136" i="55"/>
  <c r="BF130" i="55"/>
  <c r="BO130" i="55"/>
  <c r="BS130" i="55"/>
  <c r="BG130" i="55"/>
  <c r="N103" i="55"/>
  <c r="N67" i="55"/>
  <c r="BG67" i="55"/>
  <c r="BF67" i="55"/>
  <c r="BS67" i="55"/>
  <c r="BG16" i="55"/>
  <c r="BS16" i="55"/>
  <c r="BF16" i="55"/>
  <c r="BF13" i="55"/>
  <c r="BG13" i="55"/>
  <c r="BO13" i="55"/>
  <c r="N11" i="55"/>
  <c r="AD94" i="52"/>
  <c r="E34" i="53"/>
  <c r="E64" i="58"/>
  <c r="V154" i="55"/>
  <c r="L22" i="58"/>
  <c r="X64" i="55"/>
  <c r="V64" i="52"/>
  <c r="K62" i="41"/>
  <c r="S40" i="52"/>
  <c r="B40" i="52" s="1"/>
  <c r="S133" i="55"/>
  <c r="B133" i="55" s="1"/>
  <c r="S130" i="57"/>
  <c r="B130" i="57" s="1"/>
  <c r="BT138" i="55"/>
  <c r="BG138" i="55"/>
  <c r="H52" i="52"/>
  <c r="S40" i="57"/>
  <c r="B40" i="57" s="1"/>
  <c r="BE98" i="55"/>
  <c r="N98" i="55"/>
  <c r="DL9" i="16"/>
  <c r="AB124" i="59" s="1"/>
  <c r="DJ7" i="16"/>
  <c r="DJ6" i="16"/>
  <c r="DL5" i="16"/>
  <c r="AB4" i="59" s="1"/>
  <c r="DJ5" i="16"/>
  <c r="X4" i="59" s="1"/>
  <c r="DM7" i="16"/>
  <c r="AD64" i="59" s="1"/>
  <c r="DL8" i="16"/>
  <c r="AB94" i="59" s="1"/>
  <c r="DK7" i="16"/>
  <c r="I62" i="87" s="1"/>
  <c r="Z64" i="59"/>
  <c r="DL6" i="16"/>
  <c r="AB34" i="59" s="1"/>
  <c r="DJ8" i="16"/>
  <c r="X94" i="59"/>
  <c r="DI9" i="16"/>
  <c r="V124" i="59"/>
  <c r="DM9" i="16"/>
  <c r="AD124" i="59" s="1"/>
  <c r="DM10" i="16"/>
  <c r="AD154" i="59" s="1"/>
  <c r="DJ9" i="16"/>
  <c r="DI6" i="16"/>
  <c r="V34" i="59" s="1"/>
  <c r="DM8" i="16"/>
  <c r="AD94" i="59" s="1"/>
  <c r="DL7" i="16"/>
  <c r="AB64" i="59" s="1"/>
  <c r="DK8" i="16"/>
  <c r="DI8" i="16"/>
  <c r="V94" i="59" s="1"/>
  <c r="DL10" i="16"/>
  <c r="BF138" i="58"/>
  <c r="BG138" i="58"/>
  <c r="BF101" i="59"/>
  <c r="BO101" i="59"/>
  <c r="I4" i="58"/>
  <c r="Z64" i="57"/>
  <c r="DK6" i="16"/>
  <c r="Z34" i="59" s="1"/>
  <c r="AC178" i="57"/>
  <c r="L178" i="57" s="1"/>
  <c r="DM6" i="16"/>
  <c r="AD34" i="59" s="1"/>
  <c r="M64" i="55"/>
  <c r="G4" i="55"/>
  <c r="AA23" i="53"/>
  <c r="J23" i="53" s="1"/>
  <c r="Y173" i="59"/>
  <c r="H173" i="59" s="1"/>
  <c r="H172" i="59"/>
  <c r="M4" i="84"/>
  <c r="DI5" i="16"/>
  <c r="AA145" i="53"/>
  <c r="AB127" i="53" s="1"/>
  <c r="K127" i="53" s="1"/>
  <c r="AA148" i="53"/>
  <c r="J148" i="53" s="1"/>
  <c r="AA147" i="53"/>
  <c r="J147" i="53" s="1"/>
  <c r="J142" i="53"/>
  <c r="B3" i="53"/>
  <c r="I4" i="53"/>
  <c r="AA118" i="59"/>
  <c r="AB106" i="59" s="1"/>
  <c r="K106" i="59" s="1"/>
  <c r="S160" i="52"/>
  <c r="B160" i="52" s="1"/>
  <c r="S157" i="53"/>
  <c r="B157" i="53" s="1"/>
  <c r="BE132" i="59"/>
  <c r="N132" i="59"/>
  <c r="U23" i="53"/>
  <c r="D23" i="53" s="1"/>
  <c r="I94" i="53"/>
  <c r="M94" i="57"/>
  <c r="DM5" i="16"/>
  <c r="AD4" i="59" s="1"/>
  <c r="J172" i="55"/>
  <c r="AA173" i="55"/>
  <c r="J173" i="55" s="1"/>
  <c r="Y116" i="57"/>
  <c r="Z100" i="57" s="1"/>
  <c r="I100" i="57" s="1"/>
  <c r="AC175" i="57"/>
  <c r="AC176" i="57"/>
  <c r="AD160" i="57" s="1"/>
  <c r="M160" i="57" s="1"/>
  <c r="AC177" i="57"/>
  <c r="L177" i="57" s="1"/>
  <c r="U53" i="59"/>
  <c r="D53" i="59" s="1"/>
  <c r="S163" i="57"/>
  <c r="B163" i="57" s="1"/>
  <c r="S163" i="55"/>
  <c r="B163" i="55" s="1"/>
  <c r="S161" i="52"/>
  <c r="B161" i="52" s="1"/>
  <c r="G124" i="59"/>
  <c r="J82" i="59"/>
  <c r="AA83" i="59"/>
  <c r="J83" i="59" s="1"/>
  <c r="N8" i="53"/>
  <c r="BE8" i="53"/>
  <c r="BG135" i="59"/>
  <c r="BO135" i="59"/>
  <c r="BE159" i="58"/>
  <c r="N159" i="58"/>
  <c r="BS39" i="58"/>
  <c r="BF39" i="58"/>
  <c r="G64" i="58"/>
  <c r="K94" i="59"/>
  <c r="S67" i="52"/>
  <c r="B67" i="52" s="1"/>
  <c r="S67" i="55"/>
  <c r="B67" i="55" s="1"/>
  <c r="BG71" i="57"/>
  <c r="BG99" i="57"/>
  <c r="S16" i="52"/>
  <c r="S16" i="55"/>
  <c r="B16" i="55" s="1"/>
  <c r="BE102" i="57"/>
  <c r="N102" i="57"/>
  <c r="S76" i="57"/>
  <c r="B76" i="57" s="1"/>
  <c r="S76" i="55"/>
  <c r="B76" i="55" s="1"/>
  <c r="BE18" i="58"/>
  <c r="N18" i="58"/>
  <c r="BT102" i="58"/>
  <c r="BS12" i="53"/>
  <c r="BT45" i="52"/>
  <c r="BS69" i="57"/>
  <c r="BG69" i="57"/>
  <c r="BF15" i="59"/>
  <c r="BS15" i="59"/>
  <c r="BT72" i="59"/>
  <c r="BO72" i="59"/>
  <c r="BG129" i="57"/>
  <c r="BG106" i="58"/>
  <c r="BO8" i="58"/>
  <c r="BT42" i="57"/>
  <c r="BF162" i="59"/>
  <c r="BG132" i="58"/>
  <c r="BF48" i="55"/>
  <c r="BF47" i="58"/>
  <c r="BF159" i="59"/>
  <c r="BS165" i="57"/>
  <c r="BS159" i="52"/>
  <c r="BF41" i="58"/>
  <c r="BO162" i="59"/>
  <c r="BS168" i="53"/>
  <c r="M33" i="87"/>
  <c r="S10" i="57"/>
  <c r="B10" i="57" s="1"/>
  <c r="S8" i="55"/>
  <c r="B8" i="55" s="1"/>
  <c r="S157" i="55"/>
  <c r="B157" i="55" s="1"/>
  <c r="S163" i="52"/>
  <c r="B163" i="52" s="1"/>
  <c r="S157" i="57"/>
  <c r="B157" i="57" s="1"/>
  <c r="S106" i="52"/>
  <c r="B106" i="52" s="1"/>
  <c r="S97" i="53"/>
  <c r="B97" i="53" s="1"/>
  <c r="S43" i="53"/>
  <c r="B43" i="53" s="1"/>
  <c r="S100" i="52"/>
  <c r="B100" i="52" s="1"/>
  <c r="S103" i="53"/>
  <c r="B103" i="53" s="1"/>
  <c r="S97" i="55"/>
  <c r="B97" i="55" s="1"/>
  <c r="S136" i="57"/>
  <c r="B136" i="57" s="1"/>
  <c r="S136" i="52"/>
  <c r="B136" i="52" s="1"/>
  <c r="S70" i="57"/>
  <c r="B70" i="57" s="1"/>
  <c r="S127" i="52"/>
  <c r="B127" i="52" s="1"/>
  <c r="S127" i="57"/>
  <c r="B127" i="57" s="1"/>
  <c r="S127" i="53"/>
  <c r="B127" i="53" s="1"/>
  <c r="S127" i="55"/>
  <c r="B127" i="55" s="1"/>
  <c r="S130" i="52"/>
  <c r="B130" i="52" s="1"/>
  <c r="S130" i="55"/>
  <c r="B130" i="55" s="1"/>
  <c r="S70" i="55"/>
  <c r="B70" i="55" s="1"/>
  <c r="S70" i="53"/>
  <c r="B70" i="53" s="1"/>
  <c r="S166" i="57"/>
  <c r="B166" i="57" s="1"/>
  <c r="S46" i="57"/>
  <c r="B46" i="57" s="1"/>
  <c r="S46" i="58"/>
  <c r="B46" i="58" s="1"/>
  <c r="S13" i="57"/>
  <c r="B13" i="57" s="1"/>
  <c r="S13" i="55"/>
  <c r="B13" i="55" s="1"/>
  <c r="S13" i="53"/>
  <c r="B13" i="53" s="1"/>
  <c r="S13" i="58"/>
  <c r="B13" i="58" s="1"/>
  <c r="S13" i="52"/>
  <c r="S97" i="58"/>
  <c r="B97" i="58" s="1"/>
  <c r="S97" i="57"/>
  <c r="B97" i="57" s="1"/>
  <c r="S16" i="58"/>
  <c r="B16" i="58" s="1"/>
  <c r="S106" i="55"/>
  <c r="B106" i="55" s="1"/>
  <c r="BO136" i="58"/>
  <c r="F139" i="58"/>
  <c r="N130" i="58"/>
  <c r="N100" i="58"/>
  <c r="BS100" i="58"/>
  <c r="BO70" i="58"/>
  <c r="BF67" i="58"/>
  <c r="BS46" i="58"/>
  <c r="BG10" i="58"/>
  <c r="L142" i="59"/>
  <c r="AC143" i="59"/>
  <c r="L143" i="59"/>
  <c r="AC147" i="59"/>
  <c r="AD133" i="59" s="1"/>
  <c r="M133" i="59" s="1"/>
  <c r="AC146" i="59"/>
  <c r="AD130" i="59" s="1"/>
  <c r="M130" i="59" s="1"/>
  <c r="AC145" i="59"/>
  <c r="AD127" i="59" s="1"/>
  <c r="M127" i="59" s="1"/>
  <c r="AC148" i="59"/>
  <c r="AD136" i="59" s="1"/>
  <c r="M136" i="59" s="1"/>
  <c r="Z34" i="52"/>
  <c r="G94" i="58"/>
  <c r="G124" i="58"/>
  <c r="M34" i="58"/>
  <c r="M4" i="58"/>
  <c r="B3" i="58"/>
  <c r="K124" i="58"/>
  <c r="B61" i="87"/>
  <c r="G94" i="57"/>
  <c r="M4" i="57"/>
  <c r="D80" i="87"/>
  <c r="D81" i="87" s="1"/>
  <c r="G64" i="53"/>
  <c r="G94" i="59"/>
  <c r="G64" i="57"/>
  <c r="L80" i="87"/>
  <c r="L81" i="87" s="1"/>
  <c r="G34" i="52"/>
  <c r="B89" i="41"/>
  <c r="B61" i="85"/>
  <c r="F80" i="87"/>
  <c r="F81" i="87" s="1"/>
  <c r="G34" i="57"/>
  <c r="J82" i="55"/>
  <c r="AA83" i="55"/>
  <c r="J83" i="55" s="1"/>
  <c r="Y23" i="59"/>
  <c r="H23" i="59" s="1"/>
  <c r="H22" i="59"/>
  <c r="W83" i="53"/>
  <c r="F83" i="53" s="1"/>
  <c r="G154" i="57"/>
  <c r="AD4" i="52"/>
  <c r="AC85" i="53"/>
  <c r="L82" i="53"/>
  <c r="I4" i="55"/>
  <c r="BS138" i="57"/>
  <c r="BS128" i="59"/>
  <c r="N43" i="58"/>
  <c r="S67" i="57"/>
  <c r="B67" i="57" s="1"/>
  <c r="BT38" i="57"/>
  <c r="BS131" i="59"/>
  <c r="BT162" i="57"/>
  <c r="BF131" i="59"/>
  <c r="BO48" i="58"/>
  <c r="BO106" i="59"/>
  <c r="BG106" i="59"/>
  <c r="BF106" i="59"/>
  <c r="BF104" i="59"/>
  <c r="BG97" i="59"/>
  <c r="BE97" i="59"/>
  <c r="BT97" i="59"/>
  <c r="BS97" i="59"/>
  <c r="BF97" i="59"/>
  <c r="BO97" i="59"/>
  <c r="BG166" i="59"/>
  <c r="BT166" i="59"/>
  <c r="BO166" i="59"/>
  <c r="BS166" i="59"/>
  <c r="BF166" i="59"/>
  <c r="BO163" i="59"/>
  <c r="BS163" i="59"/>
  <c r="BG163" i="59"/>
  <c r="BT163" i="59"/>
  <c r="BF163" i="59"/>
  <c r="BG160" i="59"/>
  <c r="BS160" i="59"/>
  <c r="BO160" i="59"/>
  <c r="BF160" i="59"/>
  <c r="BS157" i="59"/>
  <c r="BO157" i="59"/>
  <c r="AE139" i="59"/>
  <c r="J139" i="59"/>
  <c r="BG127" i="59"/>
  <c r="BO127" i="59"/>
  <c r="BS127" i="59"/>
  <c r="BT127" i="59"/>
  <c r="BO76" i="59"/>
  <c r="BF76" i="59"/>
  <c r="BS76" i="59"/>
  <c r="BG73" i="59"/>
  <c r="AE79" i="59"/>
  <c r="BB80" i="59" s="1"/>
  <c r="BF67" i="59"/>
  <c r="L79" i="59"/>
  <c r="BS67" i="59"/>
  <c r="BT67" i="59"/>
  <c r="BO67" i="59"/>
  <c r="BG67" i="59"/>
  <c r="N67" i="59"/>
  <c r="BT43" i="59"/>
  <c r="BO43" i="59"/>
  <c r="BS40" i="59"/>
  <c r="N16" i="59"/>
  <c r="BS10" i="59"/>
  <c r="BS7" i="59"/>
  <c r="BT7" i="59"/>
  <c r="J19" i="59"/>
  <c r="BG7" i="59"/>
  <c r="BO7" i="59"/>
  <c r="BF7" i="59"/>
  <c r="BG165" i="53"/>
  <c r="BG158" i="59"/>
  <c r="BT159" i="59"/>
  <c r="BF159" i="53"/>
  <c r="BT162" i="58"/>
  <c r="BO167" i="57"/>
  <c r="BO168" i="53"/>
  <c r="N163" i="59"/>
  <c r="BT162" i="59"/>
  <c r="BE160" i="59"/>
  <c r="BT160" i="59"/>
  <c r="BF157" i="59"/>
  <c r="BF162" i="57"/>
  <c r="BO128" i="58"/>
  <c r="BG137" i="57"/>
  <c r="BT128" i="57"/>
  <c r="BF128" i="59"/>
  <c r="BT134" i="57"/>
  <c r="BT138" i="57"/>
  <c r="BF127" i="59"/>
  <c r="N136" i="59"/>
  <c r="BE130" i="59"/>
  <c r="BT102" i="57"/>
  <c r="BS108" i="58"/>
  <c r="BS106" i="59"/>
  <c r="BT107" i="53"/>
  <c r="BO105" i="57"/>
  <c r="N98" i="57"/>
  <c r="N98" i="53"/>
  <c r="N105" i="55"/>
  <c r="N100" i="59"/>
  <c r="N108" i="59"/>
  <c r="BS104" i="53"/>
  <c r="BS104" i="55"/>
  <c r="BS108" i="55"/>
  <c r="BG99" i="58"/>
  <c r="BG98" i="59"/>
  <c r="BG107" i="55"/>
  <c r="BT102" i="53"/>
  <c r="BS108" i="59"/>
  <c r="BE104" i="59"/>
  <c r="BS75" i="57"/>
  <c r="BG67" i="57"/>
  <c r="BT67" i="55"/>
  <c r="BG74" i="59"/>
  <c r="BF78" i="59"/>
  <c r="BG68" i="58"/>
  <c r="BO78" i="58"/>
  <c r="BT78" i="57"/>
  <c r="BG69" i="58"/>
  <c r="BG75" i="55"/>
  <c r="BS71" i="57"/>
  <c r="BG77" i="53"/>
  <c r="BT72" i="55"/>
  <c r="BT75" i="53"/>
  <c r="BT38" i="58"/>
  <c r="BS47" i="57"/>
  <c r="BF38" i="57"/>
  <c r="N45" i="53"/>
  <c r="N43" i="52"/>
  <c r="N41" i="58"/>
  <c r="N39" i="57"/>
  <c r="N39" i="59"/>
  <c r="BS47" i="58"/>
  <c r="BF48" i="59"/>
  <c r="BT48" i="55"/>
  <c r="BG38" i="58"/>
  <c r="BO42" i="58"/>
  <c r="BS43" i="59"/>
  <c r="N46" i="59"/>
  <c r="BF43" i="59"/>
  <c r="BS11" i="58"/>
  <c r="BT18" i="57"/>
  <c r="BF14" i="58"/>
  <c r="BE10" i="59"/>
  <c r="BT10" i="59"/>
  <c r="BO14" i="58"/>
  <c r="BT15" i="58"/>
  <c r="BG14" i="59"/>
  <c r="BG18" i="59"/>
  <c r="BF15" i="57"/>
  <c r="BF18" i="58"/>
  <c r="BF9" i="59"/>
  <c r="BT12" i="58"/>
  <c r="BT17" i="52"/>
  <c r="BS13" i="55"/>
  <c r="BS17" i="55"/>
  <c r="BO16" i="55"/>
  <c r="S76" i="53"/>
  <c r="B76" i="53" s="1"/>
  <c r="S73" i="59"/>
  <c r="B73" i="59" s="1"/>
  <c r="S10" i="53"/>
  <c r="B10" i="53" s="1"/>
  <c r="S17" i="57"/>
  <c r="B17" i="57" s="1"/>
  <c r="S10" i="55"/>
  <c r="B10" i="55" s="1"/>
  <c r="S10" i="59"/>
  <c r="B10" i="59" s="1"/>
  <c r="S10" i="58"/>
  <c r="S100" i="57"/>
  <c r="B100" i="57" s="1"/>
  <c r="S100" i="59"/>
  <c r="B100" i="59" s="1"/>
  <c r="S100" i="58"/>
  <c r="B100" i="58" s="1"/>
  <c r="S133" i="53"/>
  <c r="B133" i="53" s="1"/>
  <c r="S133" i="57"/>
  <c r="B133" i="57" s="1"/>
  <c r="S133" i="58"/>
  <c r="B133" i="58" s="1"/>
  <c r="S136" i="55"/>
  <c r="B136" i="55" s="1"/>
  <c r="S136" i="59"/>
  <c r="B136" i="59" s="1"/>
  <c r="S7" i="52"/>
  <c r="B7" i="52" s="1"/>
  <c r="S7" i="53"/>
  <c r="B7" i="53" s="1"/>
  <c r="S7" i="59"/>
  <c r="B7" i="59" s="1"/>
  <c r="S7" i="57"/>
  <c r="S11" i="55"/>
  <c r="B11" i="55" s="1"/>
  <c r="S7" i="55"/>
  <c r="AD34" i="55"/>
  <c r="G64" i="55"/>
  <c r="X4" i="52"/>
  <c r="G154" i="59"/>
  <c r="J80" i="87"/>
  <c r="J81" i="87" s="1"/>
  <c r="G94" i="52"/>
  <c r="G154" i="53"/>
  <c r="BE39" i="53"/>
  <c r="N39" i="53"/>
  <c r="BE48" i="55"/>
  <c r="N48" i="55"/>
  <c r="I34" i="53"/>
  <c r="I124" i="53"/>
  <c r="I4" i="59"/>
  <c r="N107" i="57"/>
  <c r="L59" i="86"/>
  <c r="V92" i="57"/>
  <c r="E92" i="57" s="1"/>
  <c r="N131" i="59"/>
  <c r="V152" i="57"/>
  <c r="E152" i="57" s="1"/>
  <c r="D2" i="86"/>
  <c r="E8" i="93" s="1"/>
  <c r="N164" i="57"/>
  <c r="V34" i="58"/>
  <c r="AD151" i="58"/>
  <c r="N151" i="58" s="1"/>
  <c r="N45" i="59"/>
  <c r="W53" i="59"/>
  <c r="F53" i="59" s="1"/>
  <c r="U173" i="52"/>
  <c r="D173" i="52" s="1"/>
  <c r="U23" i="59"/>
  <c r="D23" i="59" s="1"/>
  <c r="Y53" i="55"/>
  <c r="H53" i="55" s="1"/>
  <c r="D172" i="52"/>
  <c r="F52" i="59"/>
  <c r="J82" i="57"/>
  <c r="Y58" i="55"/>
  <c r="H58" i="55" s="1"/>
  <c r="Y143" i="59"/>
  <c r="H143" i="59" s="1"/>
  <c r="L52" i="52"/>
  <c r="H142" i="59"/>
  <c r="H112" i="58"/>
  <c r="W113" i="53"/>
  <c r="F113" i="53" s="1"/>
  <c r="F112" i="53"/>
  <c r="L22" i="53"/>
  <c r="H172" i="52"/>
  <c r="J172" i="57"/>
  <c r="AA173" i="57"/>
  <c r="J173" i="57" s="1"/>
  <c r="L82" i="57"/>
  <c r="J112" i="58"/>
  <c r="AA53" i="55"/>
  <c r="J53" i="55" s="1"/>
  <c r="L22" i="57"/>
  <c r="L22" i="52"/>
  <c r="AC23" i="52"/>
  <c r="L23" i="52" s="1"/>
  <c r="D82" i="55"/>
  <c r="U83" i="55"/>
  <c r="D83" i="55"/>
  <c r="AC143" i="53"/>
  <c r="L143" i="53" s="1"/>
  <c r="L142" i="53"/>
  <c r="W146" i="57"/>
  <c r="X130" i="57" s="1"/>
  <c r="G130" i="57" s="1"/>
  <c r="H82" i="59"/>
  <c r="U173" i="58"/>
  <c r="D173" i="58" s="1"/>
  <c r="D172" i="58"/>
  <c r="W23" i="53"/>
  <c r="F23" i="53" s="1"/>
  <c r="F22" i="53"/>
  <c r="AA148" i="55"/>
  <c r="AB136" i="55" s="1"/>
  <c r="K136" i="55" s="1"/>
  <c r="AA147" i="55"/>
  <c r="J147" i="55" s="1"/>
  <c r="AA146" i="55"/>
  <c r="J146" i="55" s="1"/>
  <c r="AA145" i="55"/>
  <c r="AB127" i="55" s="1"/>
  <c r="K127" i="55" s="1"/>
  <c r="AA143" i="55"/>
  <c r="J143" i="55" s="1"/>
  <c r="M1" i="57"/>
  <c r="AD1" i="57"/>
  <c r="A2" i="70"/>
  <c r="D31" i="41"/>
  <c r="D60" i="85"/>
  <c r="Z94" i="59"/>
  <c r="G4" i="87"/>
  <c r="AB154" i="59"/>
  <c r="AB64" i="58"/>
  <c r="K4" i="87"/>
  <c r="X64" i="52"/>
  <c r="G62" i="41"/>
  <c r="BF71" i="59"/>
  <c r="BG71" i="59"/>
  <c r="BO99" i="59"/>
  <c r="BT99" i="59"/>
  <c r="BG99" i="59"/>
  <c r="AD61" i="58"/>
  <c r="N61" i="58"/>
  <c r="BO102" i="59"/>
  <c r="E94" i="59"/>
  <c r="H51" i="45"/>
  <c r="H52" i="45" s="1"/>
  <c r="B60" i="45"/>
  <c r="F80" i="45" s="1"/>
  <c r="F81" i="45" s="1"/>
  <c r="J169" i="52"/>
  <c r="BT127" i="58"/>
  <c r="BS107" i="59"/>
  <c r="BE71" i="58"/>
  <c r="P11" i="16"/>
  <c r="BS159" i="59"/>
  <c r="V4" i="53"/>
  <c r="N100" i="55"/>
  <c r="BT108" i="57"/>
  <c r="BS108" i="57"/>
  <c r="BS42" i="58"/>
  <c r="BT42" i="58"/>
  <c r="BF135" i="58"/>
  <c r="BS135" i="58"/>
  <c r="BT135" i="58"/>
  <c r="BF69" i="59"/>
  <c r="BO69" i="59"/>
  <c r="BO74" i="59"/>
  <c r="BF74" i="59"/>
  <c r="BF134" i="59"/>
  <c r="BT134" i="59"/>
  <c r="BG134" i="59"/>
  <c r="BS168" i="59"/>
  <c r="BF168" i="59"/>
  <c r="BG168" i="59"/>
  <c r="BT168" i="59"/>
  <c r="BO138" i="59"/>
  <c r="BT138" i="59"/>
  <c r="L88" i="86"/>
  <c r="L146" i="86"/>
  <c r="Y83" i="57"/>
  <c r="H83" i="57" s="1"/>
  <c r="BE69" i="55"/>
  <c r="N69" i="55"/>
  <c r="L80" i="41"/>
  <c r="L81" i="41" s="1"/>
  <c r="F80" i="41"/>
  <c r="F81" i="41" s="1"/>
  <c r="J80" i="41"/>
  <c r="J81" i="41" s="1"/>
  <c r="I62" i="41"/>
  <c r="N167" i="57"/>
  <c r="BE167" i="57"/>
  <c r="BT161" i="59"/>
  <c r="M11" i="16"/>
  <c r="B61" i="41"/>
  <c r="BO161" i="59"/>
  <c r="D31" i="85"/>
  <c r="D89" i="85"/>
  <c r="N157" i="52"/>
  <c r="BF161" i="59"/>
  <c r="BS99" i="59"/>
  <c r="K4" i="59"/>
  <c r="BE158" i="52"/>
  <c r="N158" i="52"/>
  <c r="BG161" i="59"/>
  <c r="AB4" i="52"/>
  <c r="F80" i="85"/>
  <c r="F81" i="85" s="1"/>
  <c r="L80" i="85"/>
  <c r="L81" i="85" s="1"/>
  <c r="L142" i="52"/>
  <c r="AC147" i="52"/>
  <c r="L147" i="52" s="1"/>
  <c r="BS44" i="58"/>
  <c r="BE72" i="53"/>
  <c r="N72" i="53"/>
  <c r="I34" i="59"/>
  <c r="BE158" i="57"/>
  <c r="N158" i="57"/>
  <c r="BS68" i="59"/>
  <c r="N159" i="53"/>
  <c r="BE98" i="59"/>
  <c r="I94" i="59"/>
  <c r="N166" i="55"/>
  <c r="BE159" i="55"/>
  <c r="N159" i="55"/>
  <c r="BE9" i="57"/>
  <c r="N9" i="57"/>
  <c r="BE128" i="59"/>
  <c r="I94" i="57"/>
  <c r="BE68" i="55"/>
  <c r="N68" i="55"/>
  <c r="N43" i="59"/>
  <c r="BE129" i="59"/>
  <c r="N129" i="59"/>
  <c r="BT11" i="55"/>
  <c r="BT74" i="57"/>
  <c r="BS75" i="58"/>
  <c r="BG43" i="59"/>
  <c r="BT68" i="55"/>
  <c r="BG69" i="59"/>
  <c r="N39" i="52"/>
  <c r="BE108" i="52"/>
  <c r="BF161" i="58"/>
  <c r="BG15" i="52"/>
  <c r="BS100" i="55"/>
  <c r="BG14" i="58"/>
  <c r="BT129" i="58"/>
  <c r="BG45" i="59"/>
  <c r="BG130" i="59"/>
  <c r="BS9" i="57"/>
  <c r="BT18" i="58"/>
  <c r="BG98" i="58"/>
  <c r="BG76" i="59"/>
  <c r="BG78" i="55"/>
  <c r="BG135" i="55"/>
  <c r="BS45" i="57"/>
  <c r="BT138" i="52"/>
  <c r="BG68" i="59"/>
  <c r="BE137" i="59"/>
  <c r="N137" i="59"/>
  <c r="BF78" i="52"/>
  <c r="BT78" i="52"/>
  <c r="BG78" i="52"/>
  <c r="BO78" i="52"/>
  <c r="BT101" i="52"/>
  <c r="BO101" i="52"/>
  <c r="BF101" i="52"/>
  <c r="BG101" i="52"/>
  <c r="BS101" i="52"/>
  <c r="BG131" i="57"/>
  <c r="BS131" i="57"/>
  <c r="BO131" i="57"/>
  <c r="BT131" i="57"/>
  <c r="BT104" i="58"/>
  <c r="BF104" i="58"/>
  <c r="BO104" i="58"/>
  <c r="BS104" i="58"/>
  <c r="BG104" i="58"/>
  <c r="BO167" i="59"/>
  <c r="BG167" i="59"/>
  <c r="AD94" i="57"/>
  <c r="X34" i="59"/>
  <c r="G33" i="87"/>
  <c r="Z4" i="55"/>
  <c r="BC11" i="16"/>
  <c r="BJ5" i="16"/>
  <c r="V94" i="52"/>
  <c r="V8" i="16"/>
  <c r="AA23" i="57"/>
  <c r="J23" i="57" s="1"/>
  <c r="BE75" i="58"/>
  <c r="N75" i="58"/>
  <c r="M62" i="41"/>
  <c r="M154" i="59"/>
  <c r="D22" i="52"/>
  <c r="N43" i="57"/>
  <c r="BE135" i="55"/>
  <c r="N135" i="55"/>
  <c r="H80" i="41"/>
  <c r="H81" i="41" s="1"/>
  <c r="AD124" i="58"/>
  <c r="AA176" i="58"/>
  <c r="J176" i="58" s="1"/>
  <c r="AA175" i="58"/>
  <c r="AA178" i="58"/>
  <c r="M34" i="59"/>
  <c r="BX10" i="16"/>
  <c r="AB154" i="57" s="1"/>
  <c r="BV7" i="16"/>
  <c r="G62" i="85" s="1"/>
  <c r="BW5" i="16"/>
  <c r="Z4" i="57" s="1"/>
  <c r="BU10" i="16"/>
  <c r="V154" i="57" s="1"/>
  <c r="BW8" i="16"/>
  <c r="BW6" i="16"/>
  <c r="Z34" i="57" s="1"/>
  <c r="BU6" i="16"/>
  <c r="V34" i="57" s="1"/>
  <c r="BU8" i="16"/>
  <c r="BY9" i="16"/>
  <c r="BW9" i="16"/>
  <c r="Z124" i="57" s="1"/>
  <c r="BU9" i="16"/>
  <c r="V124" i="57" s="1"/>
  <c r="BW10" i="16"/>
  <c r="Z154" i="57"/>
  <c r="BY10" i="16"/>
  <c r="AD154" i="57" s="1"/>
  <c r="BX5" i="16"/>
  <c r="BV5" i="16"/>
  <c r="BU7" i="16"/>
  <c r="V64" i="57" s="1"/>
  <c r="BV6" i="16"/>
  <c r="X34" i="57" s="1"/>
  <c r="BG47" i="53"/>
  <c r="N138" i="52"/>
  <c r="BE135" i="53"/>
  <c r="BS134" i="58"/>
  <c r="BS78" i="52"/>
  <c r="BF131" i="57"/>
  <c r="BE70" i="59"/>
  <c r="BE44" i="58"/>
  <c r="M4" i="87"/>
  <c r="X154" i="52"/>
  <c r="B61" i="45"/>
  <c r="Z124" i="55"/>
  <c r="V4" i="55"/>
  <c r="E4" i="84"/>
  <c r="D147" i="85"/>
  <c r="X94" i="55"/>
  <c r="AD64" i="55"/>
  <c r="V32" i="57"/>
  <c r="E32" i="57" s="1"/>
  <c r="K64" i="58"/>
  <c r="D80" i="41"/>
  <c r="D81" i="41" s="1"/>
  <c r="H142" i="58"/>
  <c r="N165" i="57"/>
  <c r="BG48" i="58"/>
  <c r="N71" i="55"/>
  <c r="BE71" i="55"/>
  <c r="J112" i="55"/>
  <c r="E62" i="87"/>
  <c r="V2" i="57"/>
  <c r="E2" i="57"/>
  <c r="N102" i="58"/>
  <c r="N77" i="53"/>
  <c r="BT168" i="52"/>
  <c r="N98" i="52"/>
  <c r="N104" i="53"/>
  <c r="BE104" i="53"/>
  <c r="U53" i="53"/>
  <c r="D53" i="53"/>
  <c r="N45" i="55"/>
  <c r="BE45" i="55"/>
  <c r="BG162" i="57"/>
  <c r="AC86" i="55"/>
  <c r="AD70" i="55" s="1"/>
  <c r="M70" i="55" s="1"/>
  <c r="L82" i="59"/>
  <c r="BT158" i="52"/>
  <c r="N161" i="55"/>
  <c r="N15" i="57"/>
  <c r="BE15" i="57"/>
  <c r="BO129" i="57"/>
  <c r="BF166" i="52"/>
  <c r="BS166" i="52"/>
  <c r="BG166" i="52"/>
  <c r="BG136" i="52"/>
  <c r="BS130" i="52"/>
  <c r="BF130" i="52"/>
  <c r="BO130" i="52"/>
  <c r="N100" i="52"/>
  <c r="H109" i="52"/>
  <c r="BS97" i="52"/>
  <c r="BG97" i="52"/>
  <c r="BS76" i="52"/>
  <c r="BT44" i="52"/>
  <c r="BF44" i="52"/>
  <c r="BO44" i="52"/>
  <c r="BF41" i="52"/>
  <c r="BE37" i="52"/>
  <c r="BF16" i="52"/>
  <c r="BT16" i="52"/>
  <c r="BS16" i="52"/>
  <c r="BF13" i="52"/>
  <c r="BO160" i="53"/>
  <c r="N136" i="53"/>
  <c r="D139" i="53"/>
  <c r="BF41" i="53"/>
  <c r="BE41" i="53"/>
  <c r="BG41" i="53"/>
  <c r="BG10" i="53"/>
  <c r="BO7" i="53"/>
  <c r="BE7" i="53"/>
  <c r="AE169" i="55"/>
  <c r="BB170" i="55" s="1"/>
  <c r="BO133" i="55"/>
  <c r="BF133" i="55"/>
  <c r="BG133" i="55"/>
  <c r="N127" i="55"/>
  <c r="AE109" i="55"/>
  <c r="N109" i="55" s="1"/>
  <c r="H109" i="55"/>
  <c r="BG97" i="55"/>
  <c r="N16" i="96" s="1"/>
  <c r="BS97" i="55"/>
  <c r="BO97" i="55"/>
  <c r="BS76" i="55"/>
  <c r="BO76" i="55"/>
  <c r="BF76" i="55"/>
  <c r="BG76" i="55"/>
  <c r="BE70" i="55"/>
  <c r="BT70" i="55" s="1"/>
  <c r="AE79" i="55"/>
  <c r="BB80" i="55" s="1"/>
  <c r="BF46" i="55"/>
  <c r="BS46" i="55"/>
  <c r="BG46" i="55"/>
  <c r="BO46" i="55"/>
  <c r="BT43" i="55"/>
  <c r="BG43" i="55"/>
  <c r="BS43" i="55"/>
  <c r="BF43" i="55"/>
  <c r="N43" i="55"/>
  <c r="BG40" i="55"/>
  <c r="BS40" i="55"/>
  <c r="BT40" i="55"/>
  <c r="BO40" i="55"/>
  <c r="BF40" i="55"/>
  <c r="N7" i="55"/>
  <c r="S166" i="55"/>
  <c r="B166" i="55" s="1"/>
  <c r="S166" i="53"/>
  <c r="B166" i="53" s="1"/>
  <c r="S160" i="53"/>
  <c r="B160" i="53" s="1"/>
  <c r="S160" i="55"/>
  <c r="B160" i="55" s="1"/>
  <c r="S40" i="53"/>
  <c r="B40" i="53" s="1"/>
  <c r="S40" i="55"/>
  <c r="B40" i="55" s="1"/>
  <c r="S44" i="52"/>
  <c r="B44" i="52" s="1"/>
  <c r="S73" i="55"/>
  <c r="B73" i="55" s="1"/>
  <c r="S73" i="52"/>
  <c r="B73" i="52" s="1"/>
  <c r="S107" i="52"/>
  <c r="B107" i="52" s="1"/>
  <c r="S103" i="52"/>
  <c r="B103" i="52" s="1"/>
  <c r="S100" i="55"/>
  <c r="B100" i="55" s="1"/>
  <c r="S46" i="55"/>
  <c r="B46" i="55" s="1"/>
  <c r="S46" i="52"/>
  <c r="B46" i="52" s="1"/>
  <c r="S46" i="53"/>
  <c r="B46" i="53" s="1"/>
  <c r="BS160" i="57"/>
  <c r="BO160" i="57"/>
  <c r="BF160" i="57"/>
  <c r="BG160" i="57"/>
  <c r="AE169" i="57"/>
  <c r="N169" i="57"/>
  <c r="L169" i="57"/>
  <c r="H139" i="57"/>
  <c r="BF133" i="57"/>
  <c r="BG133" i="57"/>
  <c r="N36" i="97" s="1"/>
  <c r="BO133" i="57"/>
  <c r="BS133" i="57"/>
  <c r="M36" i="97" s="1"/>
  <c r="BS127" i="57"/>
  <c r="BO127" i="57"/>
  <c r="BG127" i="57"/>
  <c r="N23" i="97" s="1"/>
  <c r="BF101" i="57"/>
  <c r="BG101" i="57"/>
  <c r="BS101" i="57"/>
  <c r="BO101" i="57"/>
  <c r="BO99" i="57"/>
  <c r="BS99" i="57"/>
  <c r="BT99" i="57"/>
  <c r="BS97" i="57"/>
  <c r="BO100" i="57"/>
  <c r="BF97" i="57"/>
  <c r="BE76" i="57"/>
  <c r="AE79" i="57"/>
  <c r="N79" i="57"/>
  <c r="BF73" i="57"/>
  <c r="BS73" i="57"/>
  <c r="BG73" i="57"/>
  <c r="BO73" i="57"/>
  <c r="BE70" i="57"/>
  <c r="BT70" i="57" s="1"/>
  <c r="BG70" i="57"/>
  <c r="N3" i="97"/>
  <c r="BO70" i="57"/>
  <c r="BS67" i="57"/>
  <c r="BF67" i="57"/>
  <c r="BG46" i="57"/>
  <c r="BS43" i="57"/>
  <c r="M20" i="97" s="1"/>
  <c r="BG43" i="57"/>
  <c r="N20" i="97" s="1"/>
  <c r="BF43" i="57"/>
  <c r="BT43" i="57"/>
  <c r="BF40" i="57"/>
  <c r="BO40" i="57"/>
  <c r="BS40" i="57"/>
  <c r="BG40" i="57"/>
  <c r="N43" i="97" s="1"/>
  <c r="BS37" i="57"/>
  <c r="BT37" i="57"/>
  <c r="BG37" i="57"/>
  <c r="N19" i="97" s="1"/>
  <c r="BO37" i="57"/>
  <c r="N16" i="57"/>
  <c r="BE10" i="57"/>
  <c r="BT10" i="57" s="1"/>
  <c r="BG10" i="57"/>
  <c r="BO10" i="57"/>
  <c r="BO7" i="57"/>
  <c r="BF7" i="57"/>
  <c r="BG7" i="57"/>
  <c r="BT7" i="57"/>
  <c r="AD124" i="57"/>
  <c r="BE18" i="52"/>
  <c r="N18" i="52"/>
  <c r="V94" i="53"/>
  <c r="K4" i="84"/>
  <c r="AB4" i="55"/>
  <c r="J80" i="45"/>
  <c r="J81" i="45" s="1"/>
  <c r="G91" i="41"/>
  <c r="J109" i="41"/>
  <c r="J110" i="41" s="1"/>
  <c r="H109" i="41"/>
  <c r="H110" i="41" s="1"/>
  <c r="I91" i="41"/>
  <c r="F109" i="41"/>
  <c r="F110" i="41" s="1"/>
  <c r="E91" i="41"/>
  <c r="DK11" i="16"/>
  <c r="F52" i="53"/>
  <c r="W58" i="53"/>
  <c r="X46" i="53" s="1"/>
  <c r="G46" i="53" s="1"/>
  <c r="W57" i="53"/>
  <c r="F57" i="53" s="1"/>
  <c r="W56" i="53"/>
  <c r="W53" i="53"/>
  <c r="F53" i="53" s="1"/>
  <c r="I64" i="58"/>
  <c r="G34" i="58"/>
  <c r="J53" i="59"/>
  <c r="H80" i="87"/>
  <c r="H81" i="87" s="1"/>
  <c r="B89" i="87"/>
  <c r="L80" i="86"/>
  <c r="L81" i="86" s="1"/>
  <c r="G94" i="55"/>
  <c r="G154" i="55"/>
  <c r="BT40" i="57"/>
  <c r="BG16" i="52"/>
  <c r="BG97" i="57"/>
  <c r="BE163" i="52"/>
  <c r="BE168" i="58"/>
  <c r="BE160" i="52"/>
  <c r="BE13" i="57"/>
  <c r="BT13" i="57" s="1"/>
  <c r="BF46" i="57"/>
  <c r="BO166" i="58"/>
  <c r="BF166" i="58"/>
  <c r="BG166" i="58"/>
  <c r="BS166" i="58"/>
  <c r="BE163" i="58"/>
  <c r="N160" i="58"/>
  <c r="BO133" i="58"/>
  <c r="BG133" i="58"/>
  <c r="BS127" i="58"/>
  <c r="AE109" i="58"/>
  <c r="N103" i="58"/>
  <c r="BG97" i="58"/>
  <c r="BO97" i="58"/>
  <c r="BS97" i="58"/>
  <c r="BS76" i="58"/>
  <c r="BF74" i="58"/>
  <c r="BS74" i="58"/>
  <c r="BO74" i="58"/>
  <c r="BS13" i="58"/>
  <c r="BF13" i="58"/>
  <c r="BO13" i="58"/>
  <c r="BG13" i="58"/>
  <c r="BO10" i="58"/>
  <c r="BS10" i="58"/>
  <c r="BF10" i="58"/>
  <c r="BE166" i="59"/>
  <c r="N164" i="59"/>
  <c r="BT164" i="59"/>
  <c r="BS164" i="59"/>
  <c r="BG136" i="59"/>
  <c r="BT136" i="59"/>
  <c r="BS136" i="59"/>
  <c r="BO136" i="59"/>
  <c r="BO133" i="59"/>
  <c r="BS133" i="59"/>
  <c r="BF133" i="59"/>
  <c r="BF103" i="59"/>
  <c r="BT103" i="59"/>
  <c r="BS103" i="59"/>
  <c r="BG103" i="59"/>
  <c r="BO103" i="59"/>
  <c r="BS100" i="59"/>
  <c r="BO100" i="59"/>
  <c r="BF100" i="59"/>
  <c r="BG100" i="59"/>
  <c r="AE109" i="59"/>
  <c r="BB110" i="59" s="1"/>
  <c r="N76" i="59"/>
  <c r="BG46" i="59"/>
  <c r="BF46" i="59"/>
  <c r="BT46" i="59"/>
  <c r="J49" i="59"/>
  <c r="N37" i="59"/>
  <c r="BF13" i="59"/>
  <c r="BS13" i="59"/>
  <c r="BG13" i="59"/>
  <c r="BO13" i="59"/>
  <c r="N13" i="59"/>
  <c r="BG10" i="59"/>
  <c r="BO10" i="59"/>
  <c r="BF10" i="59"/>
  <c r="N69" i="59"/>
  <c r="N77" i="59"/>
  <c r="BF72" i="59"/>
  <c r="BG77" i="58"/>
  <c r="BF72" i="57"/>
  <c r="BO76" i="57"/>
  <c r="BG68" i="57"/>
  <c r="BT76" i="57"/>
  <c r="BS68" i="57"/>
  <c r="N71" i="57"/>
  <c r="BF70" i="57"/>
  <c r="BG76" i="57"/>
  <c r="N2" i="97" s="1"/>
  <c r="BG72" i="57"/>
  <c r="BS76" i="57"/>
  <c r="BS72" i="57"/>
  <c r="BO72" i="57"/>
  <c r="BT72" i="57"/>
  <c r="BF76" i="57"/>
  <c r="BE67" i="57"/>
  <c r="BT67" i="57" s="1"/>
  <c r="BS157" i="57"/>
  <c r="M39" i="97" s="1"/>
  <c r="BO165" i="57"/>
  <c r="N159" i="59"/>
  <c r="BS164" i="58"/>
  <c r="BS161" i="59"/>
  <c r="BO159" i="59"/>
  <c r="BT167" i="53"/>
  <c r="BS166" i="57"/>
  <c r="BS158" i="57"/>
  <c r="BO161" i="58"/>
  <c r="BS163" i="57"/>
  <c r="BF127" i="57"/>
  <c r="BF136" i="59"/>
  <c r="BS136" i="57"/>
  <c r="M22" i="97" s="1"/>
  <c r="BS128" i="57"/>
  <c r="BG137" i="58"/>
  <c r="BT131" i="59"/>
  <c r="BS133" i="55"/>
  <c r="BS132" i="55"/>
  <c r="BT128" i="59"/>
  <c r="BF97" i="55"/>
  <c r="BT106" i="57"/>
  <c r="BO105" i="59"/>
  <c r="BO97" i="57"/>
  <c r="BF99" i="57"/>
  <c r="BS102" i="59"/>
  <c r="BS98" i="58"/>
  <c r="BO46" i="59"/>
  <c r="BO43" i="57"/>
  <c r="BT44" i="58"/>
  <c r="BO47" i="58"/>
  <c r="BS46" i="57"/>
  <c r="BS37" i="58"/>
  <c r="BG41" i="58"/>
  <c r="BF45" i="58"/>
  <c r="BO43" i="55"/>
  <c r="AE49" i="59"/>
  <c r="N49" i="59" s="1"/>
  <c r="BG41" i="59"/>
  <c r="N40" i="55"/>
  <c r="BT37" i="58"/>
  <c r="BF39" i="53"/>
  <c r="BG45" i="58"/>
  <c r="BO37" i="58"/>
  <c r="BS45" i="58"/>
  <c r="F49" i="59"/>
  <c r="BG39" i="53"/>
  <c r="BT41" i="58"/>
  <c r="BO41" i="58"/>
  <c r="BO38" i="59"/>
  <c r="BT45" i="58"/>
  <c r="BT39" i="53"/>
  <c r="BS41" i="58"/>
  <c r="BF37" i="58"/>
  <c r="N40" i="58"/>
  <c r="BG37" i="58"/>
  <c r="BF37" i="57"/>
  <c r="BO11" i="57"/>
  <c r="BF9" i="58"/>
  <c r="BF10" i="57"/>
  <c r="BF8" i="58"/>
  <c r="BS16" i="58"/>
  <c r="BO12" i="57"/>
  <c r="BF12" i="57"/>
  <c r="BS12" i="57"/>
  <c r="BG12" i="57"/>
  <c r="BT12" i="57"/>
  <c r="BO16" i="57"/>
  <c r="BG16" i="57"/>
  <c r="BF16" i="57"/>
  <c r="BS8" i="59"/>
  <c r="BT8" i="59"/>
  <c r="BG8" i="59"/>
  <c r="BF8" i="59"/>
  <c r="BO8" i="59"/>
  <c r="BT12" i="59"/>
  <c r="BO12" i="59"/>
  <c r="BF12" i="59"/>
  <c r="BS12" i="59"/>
  <c r="BS16" i="59"/>
  <c r="BT16" i="59"/>
  <c r="BO16" i="59"/>
  <c r="BF16" i="59"/>
  <c r="BG16" i="59"/>
  <c r="BT10" i="53"/>
  <c r="BE11" i="59"/>
  <c r="N11" i="59"/>
  <c r="BE8" i="58"/>
  <c r="N8" i="58"/>
  <c r="BF10" i="55"/>
  <c r="BT10" i="55"/>
  <c r="BG10" i="55"/>
  <c r="BO10" i="55"/>
  <c r="BF14" i="55"/>
  <c r="BT14" i="55"/>
  <c r="BS14" i="55"/>
  <c r="BO14" i="55"/>
  <c r="BG14" i="55"/>
  <c r="N12" i="97"/>
  <c r="O12" i="97"/>
  <c r="D19" i="59"/>
  <c r="AE19" i="59"/>
  <c r="BS10" i="57"/>
  <c r="M35" i="97"/>
  <c r="BT16" i="57"/>
  <c r="N16" i="53"/>
  <c r="BO165" i="52"/>
  <c r="BO128" i="52"/>
  <c r="BS132" i="52"/>
  <c r="BG127" i="52"/>
  <c r="N129" i="52"/>
  <c r="BT131" i="52"/>
  <c r="BG135" i="52"/>
  <c r="BT135" i="52"/>
  <c r="N136" i="52"/>
  <c r="BE133" i="52"/>
  <c r="N134" i="52"/>
  <c r="BE107" i="52"/>
  <c r="BO75" i="52"/>
  <c r="BO76" i="52"/>
  <c r="BT41" i="52"/>
  <c r="BG45" i="52"/>
  <c r="BO41" i="52"/>
  <c r="BS45" i="52"/>
  <c r="N44" i="52"/>
  <c r="BO45" i="52"/>
  <c r="BG44" i="52"/>
  <c r="BS41" i="52"/>
  <c r="N15" i="52"/>
  <c r="BT11" i="52"/>
  <c r="BS11" i="52"/>
  <c r="BG11" i="52"/>
  <c r="BO11" i="52"/>
  <c r="BE7" i="52"/>
  <c r="BO16" i="52"/>
  <c r="BE10" i="52"/>
  <c r="BT10" i="52" s="1"/>
  <c r="BT13" i="58"/>
  <c r="N40" i="57"/>
  <c r="BG131" i="52"/>
  <c r="BO127" i="52"/>
  <c r="BO132" i="52"/>
  <c r="BS127" i="52"/>
  <c r="BT132" i="52"/>
  <c r="BG132" i="52"/>
  <c r="BF131" i="52"/>
  <c r="BF128" i="52"/>
  <c r="BO135" i="52"/>
  <c r="BF137" i="52"/>
  <c r="J139" i="52"/>
  <c r="BS128" i="52"/>
  <c r="BG133" i="52"/>
  <c r="BS131" i="52"/>
  <c r="BF135" i="52"/>
  <c r="BF133" i="52"/>
  <c r="BT128" i="52"/>
  <c r="BG137" i="52"/>
  <c r="BS137" i="52"/>
  <c r="BO131" i="52"/>
  <c r="BG128" i="52"/>
  <c r="BT137" i="52"/>
  <c r="F112" i="52"/>
  <c r="W113" i="52"/>
  <c r="F113" i="52" s="1"/>
  <c r="BS107" i="52"/>
  <c r="BG107" i="52"/>
  <c r="BF107" i="52"/>
  <c r="BO107" i="52"/>
  <c r="BT107" i="52"/>
  <c r="N103" i="52"/>
  <c r="BF98" i="52"/>
  <c r="BG98" i="52"/>
  <c r="BT98" i="52"/>
  <c r="BS98" i="52"/>
  <c r="BO98" i="52"/>
  <c r="BT99" i="52"/>
  <c r="BF99" i="52"/>
  <c r="BS99" i="52"/>
  <c r="BG99" i="52"/>
  <c r="BG100" i="52"/>
  <c r="BO100" i="52"/>
  <c r="BT102" i="52"/>
  <c r="BO102" i="52"/>
  <c r="BS102" i="52"/>
  <c r="BF102" i="52"/>
  <c r="BG102" i="52"/>
  <c r="BT104" i="52"/>
  <c r="BG104" i="52"/>
  <c r="BF104" i="52"/>
  <c r="BS104" i="52"/>
  <c r="BO104" i="52"/>
  <c r="BG106" i="52"/>
  <c r="BS106" i="52"/>
  <c r="BO106" i="52"/>
  <c r="BF108" i="52"/>
  <c r="BT108" i="52"/>
  <c r="BG108" i="52"/>
  <c r="BO108" i="52"/>
  <c r="BS108" i="52"/>
  <c r="N70" i="52"/>
  <c r="BE67" i="52"/>
  <c r="N41" i="52"/>
  <c r="BB20" i="59"/>
  <c r="N19" i="59"/>
  <c r="U115" i="55"/>
  <c r="D115" i="55" s="1"/>
  <c r="AA177" i="58"/>
  <c r="F142" i="55"/>
  <c r="Y86" i="58"/>
  <c r="U113" i="55"/>
  <c r="D113" i="55" s="1"/>
  <c r="Y87" i="58"/>
  <c r="Z73" i="58" s="1"/>
  <c r="I73" i="58" s="1"/>
  <c r="D112" i="55"/>
  <c r="Y83" i="58"/>
  <c r="H83" i="58" s="1"/>
  <c r="D172" i="59"/>
  <c r="AC53" i="57"/>
  <c r="L53" i="57" s="1"/>
  <c r="U143" i="52"/>
  <c r="D143" i="52"/>
  <c r="D112" i="58"/>
  <c r="AA23" i="58"/>
  <c r="J23" i="58" s="1"/>
  <c r="L22" i="59"/>
  <c r="U173" i="55"/>
  <c r="D173" i="55" s="1"/>
  <c r="AC173" i="52"/>
  <c r="L173" i="52" s="1"/>
  <c r="AD151" i="53"/>
  <c r="M151" i="53" s="1"/>
  <c r="AD1" i="53"/>
  <c r="A2" i="66" s="1"/>
  <c r="AD31" i="57"/>
  <c r="AD121" i="57"/>
  <c r="L30" i="85"/>
  <c r="M91" i="57"/>
  <c r="M151" i="57"/>
  <c r="AD151" i="57"/>
  <c r="L117" i="85"/>
  <c r="L1" i="85"/>
  <c r="Q6" i="92"/>
  <c r="AD91" i="57"/>
  <c r="M61" i="57"/>
  <c r="L146" i="85"/>
  <c r="L59" i="85"/>
  <c r="M31" i="57"/>
  <c r="M121" i="57"/>
  <c r="L88" i="85"/>
  <c r="V92" i="58"/>
  <c r="E92" i="58" s="1"/>
  <c r="D147" i="86"/>
  <c r="D118" i="86"/>
  <c r="V62" i="58"/>
  <c r="E62" i="58" s="1"/>
  <c r="A2" i="74"/>
  <c r="AD91" i="58"/>
  <c r="N91" i="58" s="1"/>
  <c r="L117" i="86"/>
  <c r="AD1" i="58"/>
  <c r="A2" i="68" s="1"/>
  <c r="AD31" i="58"/>
  <c r="N31" i="58" s="1"/>
  <c r="L30" i="86"/>
  <c r="D89" i="86"/>
  <c r="A3" i="70"/>
  <c r="D118" i="85"/>
  <c r="V122" i="55"/>
  <c r="E122" i="55"/>
  <c r="V32" i="55"/>
  <c r="E32" i="55" s="1"/>
  <c r="V152" i="55"/>
  <c r="E152" i="55" s="1"/>
  <c r="D89" i="84"/>
  <c r="V2" i="55"/>
  <c r="E2" i="55" s="1"/>
  <c r="D118" i="84"/>
  <c r="D60" i="84"/>
  <c r="D2" i="84"/>
  <c r="E8" i="91" s="1"/>
  <c r="V62" i="55"/>
  <c r="E62" i="55" s="1"/>
  <c r="A3" i="63"/>
  <c r="D31" i="84"/>
  <c r="D147" i="84"/>
  <c r="V2" i="58"/>
  <c r="A3" i="68" s="1"/>
  <c r="N7" i="99"/>
  <c r="O7" i="99" s="1"/>
  <c r="M32" i="99"/>
  <c r="M23" i="99"/>
  <c r="N32" i="99"/>
  <c r="O32" i="99" s="1"/>
  <c r="M28" i="99"/>
  <c r="M8" i="99"/>
  <c r="N109" i="59"/>
  <c r="I91" i="87"/>
  <c r="E33" i="85"/>
  <c r="O11" i="16"/>
  <c r="Z124" i="53"/>
  <c r="AC113" i="58"/>
  <c r="L113" i="58" s="1"/>
  <c r="L112" i="58"/>
  <c r="H52" i="59"/>
  <c r="Y53" i="59"/>
  <c r="H53" i="59"/>
  <c r="M91" i="87"/>
  <c r="B118" i="87"/>
  <c r="B90" i="87"/>
  <c r="L109" i="87"/>
  <c r="L110" i="87" s="1"/>
  <c r="BY11" i="16"/>
  <c r="DR7" i="16"/>
  <c r="X64" i="59"/>
  <c r="G62" i="87"/>
  <c r="G91" i="87"/>
  <c r="V94" i="57"/>
  <c r="K33" i="85"/>
  <c r="M33" i="41"/>
  <c r="AD34" i="52"/>
  <c r="G4" i="45"/>
  <c r="U173" i="53"/>
  <c r="D173" i="53" s="1"/>
  <c r="U175" i="53"/>
  <c r="I94" i="55"/>
  <c r="M94" i="55"/>
  <c r="K34" i="55"/>
  <c r="E64" i="55"/>
  <c r="K4" i="55"/>
  <c r="I124" i="55"/>
  <c r="I64" i="55"/>
  <c r="E34" i="55"/>
  <c r="M124" i="55"/>
  <c r="G34" i="55"/>
  <c r="E4" i="55"/>
  <c r="I154" i="55"/>
  <c r="K94" i="55"/>
  <c r="G124" i="55"/>
  <c r="I34" i="55"/>
  <c r="U178" i="53"/>
  <c r="D178" i="53" s="1"/>
  <c r="Z64" i="55"/>
  <c r="Z4" i="59"/>
  <c r="I4" i="87"/>
  <c r="B89" i="45"/>
  <c r="D172" i="53"/>
  <c r="K33" i="41"/>
  <c r="AB34" i="52"/>
  <c r="V124" i="55"/>
  <c r="E4" i="45"/>
  <c r="H22" i="52"/>
  <c r="Y23" i="52"/>
  <c r="H23" i="52" s="1"/>
  <c r="D112" i="52"/>
  <c r="U113" i="52"/>
  <c r="D113" i="52" s="1"/>
  <c r="I4" i="85"/>
  <c r="H22" i="57"/>
  <c r="I4" i="52"/>
  <c r="I124" i="58"/>
  <c r="I4" i="41"/>
  <c r="I124" i="57"/>
  <c r="I64" i="57"/>
  <c r="I4" i="57"/>
  <c r="I64" i="59"/>
  <c r="I64" i="53"/>
  <c r="I154" i="59"/>
  <c r="I154" i="58"/>
  <c r="I34" i="57"/>
  <c r="I124" i="52"/>
  <c r="I154" i="57"/>
  <c r="Z4" i="52"/>
  <c r="I94" i="58"/>
  <c r="Y23" i="58"/>
  <c r="H23" i="58" s="1"/>
  <c r="H22" i="58"/>
  <c r="W176" i="59"/>
  <c r="X160" i="59" s="1"/>
  <c r="F172" i="59"/>
  <c r="W175" i="59"/>
  <c r="F175" i="59" s="1"/>
  <c r="W178" i="59"/>
  <c r="F178" i="59" s="1"/>
  <c r="AA117" i="52"/>
  <c r="AB103" i="52" s="1"/>
  <c r="K103" i="52" s="1"/>
  <c r="W23" i="55"/>
  <c r="F23" i="55" s="1"/>
  <c r="BT160" i="57"/>
  <c r="X124" i="52"/>
  <c r="X34" i="52"/>
  <c r="X154" i="55"/>
  <c r="BJ6" i="16"/>
  <c r="AD121" i="58"/>
  <c r="N121" i="58" s="1"/>
  <c r="G64" i="59"/>
  <c r="I124" i="59"/>
  <c r="AA113" i="52"/>
  <c r="J113" i="52" s="1"/>
  <c r="AC53" i="55"/>
  <c r="L53" i="55" s="1"/>
  <c r="N129" i="57"/>
  <c r="M4" i="59"/>
  <c r="L112" i="53"/>
  <c r="BO39" i="53"/>
  <c r="B3" i="52"/>
  <c r="BF11" i="52"/>
  <c r="BT70" i="52"/>
  <c r="BG70" i="55"/>
  <c r="BG107" i="58"/>
  <c r="I120" i="87"/>
  <c r="B118" i="45"/>
  <c r="G120" i="45" s="1"/>
  <c r="W113" i="57"/>
  <c r="F113" i="57" s="1"/>
  <c r="BQ97" i="52"/>
  <c r="BQ98" i="52" s="1"/>
  <c r="BQ99" i="52" s="1"/>
  <c r="BQ100" i="52" s="1"/>
  <c r="BQ101" i="52" s="1"/>
  <c r="BQ102" i="52" s="1"/>
  <c r="BQ103" i="52" s="1"/>
  <c r="BQ104" i="52" s="1"/>
  <c r="BQ105" i="52" s="1"/>
  <c r="BQ106" i="52" s="1"/>
  <c r="BQ107" i="52" s="1"/>
  <c r="BQ108" i="52" s="1"/>
  <c r="H112" i="57"/>
  <c r="W177" i="55"/>
  <c r="F22" i="52"/>
  <c r="H142" i="52"/>
  <c r="Y83" i="59"/>
  <c r="H83" i="59" s="1"/>
  <c r="Y23" i="57"/>
  <c r="H23" i="57" s="1"/>
  <c r="Y85" i="59"/>
  <c r="Z67" i="59" s="1"/>
  <c r="I67" i="59" s="1"/>
  <c r="AA173" i="59"/>
  <c r="J173" i="59" s="1"/>
  <c r="Y86" i="59"/>
  <c r="Z70" i="59" s="1"/>
  <c r="I70" i="59" s="1"/>
  <c r="Y87" i="59"/>
  <c r="AC113" i="55"/>
  <c r="L113" i="55" s="1"/>
  <c r="W143" i="58"/>
  <c r="F143" i="58" s="1"/>
  <c r="L112" i="55"/>
  <c r="Y143" i="52"/>
  <c r="H143" i="52"/>
  <c r="U58" i="59"/>
  <c r="V46" i="59" s="1"/>
  <c r="E46" i="59" s="1"/>
  <c r="U56" i="59"/>
  <c r="V40" i="59" s="1"/>
  <c r="F52" i="52"/>
  <c r="D52" i="59"/>
  <c r="W175" i="55"/>
  <c r="X157" i="55" s="1"/>
  <c r="G157" i="55" s="1"/>
  <c r="U85" i="57"/>
  <c r="V67" i="57" s="1"/>
  <c r="E67" i="57" s="1"/>
  <c r="U57" i="59"/>
  <c r="D57" i="59" s="1"/>
  <c r="L82" i="58"/>
  <c r="Y113" i="57"/>
  <c r="H113" i="57" s="1"/>
  <c r="W83" i="55"/>
  <c r="F83" i="55" s="1"/>
  <c r="U86" i="57"/>
  <c r="V70" i="57" s="1"/>
  <c r="E70" i="57" s="1"/>
  <c r="Y115" i="57"/>
  <c r="U87" i="57"/>
  <c r="D87" i="57" s="1"/>
  <c r="Y117" i="57"/>
  <c r="Z103" i="57" s="1"/>
  <c r="I103" i="57" s="1"/>
  <c r="AC173" i="53"/>
  <c r="L173" i="53" s="1"/>
  <c r="U83" i="57"/>
  <c r="D83" i="57" s="1"/>
  <c r="U53" i="58"/>
  <c r="D53" i="58"/>
  <c r="F172" i="55"/>
  <c r="W173" i="55"/>
  <c r="F173" i="55" s="1"/>
  <c r="H22" i="55"/>
  <c r="D142" i="58"/>
  <c r="U143" i="58"/>
  <c r="D143" i="58"/>
  <c r="U147" i="58"/>
  <c r="Y173" i="55"/>
  <c r="H173" i="55" s="1"/>
  <c r="AA113" i="57"/>
  <c r="J113" i="57" s="1"/>
  <c r="U148" i="58"/>
  <c r="U145" i="58"/>
  <c r="U53" i="52"/>
  <c r="D53" i="52" s="1"/>
  <c r="J112" i="53"/>
  <c r="D52" i="52"/>
  <c r="U58" i="52"/>
  <c r="U55" i="52"/>
  <c r="V37" i="52" s="1"/>
  <c r="E37" i="52" s="1"/>
  <c r="F22" i="58"/>
  <c r="J82" i="52"/>
  <c r="U56" i="52"/>
  <c r="V40" i="52" s="1"/>
  <c r="E40" i="52" s="1"/>
  <c r="AD151" i="52"/>
  <c r="M151" i="52" s="1"/>
  <c r="AD91" i="52"/>
  <c r="M91" i="52"/>
  <c r="AD121" i="52"/>
  <c r="M121" i="52" s="1"/>
  <c r="AD31" i="52"/>
  <c r="M31" i="52" s="1"/>
  <c r="A2" i="72"/>
  <c r="D60" i="86"/>
  <c r="V122" i="58"/>
  <c r="E122" i="58" s="1"/>
  <c r="V2" i="52"/>
  <c r="E2" i="52" s="1"/>
  <c r="V152" i="52"/>
  <c r="E152" i="52"/>
  <c r="A3" i="60"/>
  <c r="V122" i="52"/>
  <c r="E122" i="52" s="1"/>
  <c r="V92" i="52"/>
  <c r="E92" i="52" s="1"/>
  <c r="D60" i="41"/>
  <c r="D89" i="41"/>
  <c r="AD91" i="55"/>
  <c r="M91" i="55" s="1"/>
  <c r="AD61" i="55"/>
  <c r="M61" i="55"/>
  <c r="L59" i="84"/>
  <c r="D2" i="87"/>
  <c r="E8" i="94" s="1"/>
  <c r="AD151" i="55"/>
  <c r="M151" i="55" s="1"/>
  <c r="V62" i="59"/>
  <c r="E62" i="59" s="1"/>
  <c r="L117" i="84"/>
  <c r="D60" i="87"/>
  <c r="L30" i="84"/>
  <c r="V92" i="59"/>
  <c r="E92" i="59" s="1"/>
  <c r="D31" i="87"/>
  <c r="AD31" i="55"/>
  <c r="M31" i="55" s="1"/>
  <c r="D147" i="87"/>
  <c r="V32" i="59"/>
  <c r="E32" i="59"/>
  <c r="N1" i="63"/>
  <c r="D118" i="87"/>
  <c r="AD121" i="55"/>
  <c r="M121" i="55" s="1"/>
  <c r="L146" i="84"/>
  <c r="V122" i="59"/>
  <c r="E122" i="59" s="1"/>
  <c r="L88" i="84"/>
  <c r="D89" i="87"/>
  <c r="V2" i="59"/>
  <c r="AD1" i="55"/>
  <c r="A2" i="73" s="1"/>
  <c r="J22" i="52"/>
  <c r="L82" i="52"/>
  <c r="BQ8" i="53"/>
  <c r="BQ9" i="53" s="1"/>
  <c r="BQ10" i="53" s="1"/>
  <c r="BQ11" i="53" s="1"/>
  <c r="BQ12" i="53" s="1"/>
  <c r="BQ13" i="53" s="1"/>
  <c r="BQ14" i="53" s="1"/>
  <c r="BQ15" i="53" s="1"/>
  <c r="BQ16" i="53" s="1"/>
  <c r="BQ17" i="53" s="1"/>
  <c r="BQ18" i="53" s="1"/>
  <c r="L142" i="58"/>
  <c r="L88" i="41"/>
  <c r="AD61" i="52"/>
  <c r="M61" i="52" s="1"/>
  <c r="AD1" i="52"/>
  <c r="L30" i="41"/>
  <c r="L59" i="41"/>
  <c r="N1" i="70"/>
  <c r="L146" i="41"/>
  <c r="L1" i="41"/>
  <c r="Q6" i="89" s="1"/>
  <c r="L1" i="87"/>
  <c r="Q6" i="94" s="1"/>
  <c r="L30" i="87"/>
  <c r="AD91" i="59"/>
  <c r="M91" i="59" s="1"/>
  <c r="AD31" i="59"/>
  <c r="M31" i="59" s="1"/>
  <c r="L117" i="87"/>
  <c r="L88" i="87"/>
  <c r="D118" i="45"/>
  <c r="L59" i="87"/>
  <c r="L146" i="87"/>
  <c r="AD121" i="59"/>
  <c r="M121" i="59" s="1"/>
  <c r="AD61" i="59"/>
  <c r="M61" i="59" s="1"/>
  <c r="AD151" i="59"/>
  <c r="M151" i="59" s="1"/>
  <c r="D89" i="45"/>
  <c r="D2" i="45"/>
  <c r="E8" i="90"/>
  <c r="D147" i="45"/>
  <c r="V2" i="53"/>
  <c r="A3" i="66" s="1"/>
  <c r="E2" i="53"/>
  <c r="V32" i="53"/>
  <c r="E32" i="53" s="1"/>
  <c r="V152" i="53"/>
  <c r="E152" i="53" s="1"/>
  <c r="D31" i="45"/>
  <c r="D60" i="45"/>
  <c r="V62" i="53"/>
  <c r="E62" i="53" s="1"/>
  <c r="V122" i="53"/>
  <c r="E122" i="53" s="1"/>
  <c r="M1" i="53"/>
  <c r="AD91" i="53"/>
  <c r="M91" i="53" s="1"/>
  <c r="AD121" i="53"/>
  <c r="M121" i="53" s="1"/>
  <c r="L88" i="45"/>
  <c r="L117" i="45"/>
  <c r="L30" i="45"/>
  <c r="L146" i="45"/>
  <c r="AD61" i="53"/>
  <c r="M61" i="53"/>
  <c r="L1" i="45"/>
  <c r="Q6" i="90" s="1"/>
  <c r="AD31" i="53"/>
  <c r="M31" i="53" s="1"/>
  <c r="N1" i="69"/>
  <c r="M1" i="59"/>
  <c r="A2" i="69"/>
  <c r="A2" i="77"/>
  <c r="N10" i="99"/>
  <c r="O10" i="99" s="1"/>
  <c r="M10" i="99"/>
  <c r="N29" i="99"/>
  <c r="O29" i="99" s="1"/>
  <c r="N30" i="99"/>
  <c r="O30" i="99" s="1"/>
  <c r="M30" i="99"/>
  <c r="M26" i="97"/>
  <c r="N7" i="97"/>
  <c r="O7" i="97" s="1"/>
  <c r="M7" i="97"/>
  <c r="M19" i="97"/>
  <c r="B119" i="87"/>
  <c r="G33" i="85"/>
  <c r="J109" i="87"/>
  <c r="J110" i="87"/>
  <c r="K91" i="87"/>
  <c r="D109" i="87"/>
  <c r="D110" i="87" s="1"/>
  <c r="Z94" i="57"/>
  <c r="I91" i="85"/>
  <c r="AD4" i="57"/>
  <c r="M4" i="85"/>
  <c r="F109" i="87"/>
  <c r="F110" i="87" s="1"/>
  <c r="N79" i="59"/>
  <c r="I33" i="85"/>
  <c r="H109" i="87"/>
  <c r="H110" i="87" s="1"/>
  <c r="E91" i="87"/>
  <c r="CD5" i="16"/>
  <c r="I33" i="41"/>
  <c r="V6" i="16"/>
  <c r="M4" i="86"/>
  <c r="BE44" i="59"/>
  <c r="N44" i="59"/>
  <c r="B61" i="86"/>
  <c r="H80" i="86"/>
  <c r="H81" i="86" s="1"/>
  <c r="N47" i="55"/>
  <c r="BE164" i="58"/>
  <c r="N164" i="58"/>
  <c r="BE165" i="58"/>
  <c r="N165" i="58"/>
  <c r="J22" i="59"/>
  <c r="AA23" i="59"/>
  <c r="J23" i="59" s="1"/>
  <c r="BE131" i="57"/>
  <c r="N131" i="57"/>
  <c r="DR8" i="16"/>
  <c r="BE11" i="16"/>
  <c r="X4" i="55"/>
  <c r="BE73" i="57"/>
  <c r="BT73" i="57" s="1"/>
  <c r="N73" i="57"/>
  <c r="AC23" i="55"/>
  <c r="L23" i="55" s="1"/>
  <c r="L22" i="55"/>
  <c r="AD34" i="57"/>
  <c r="M33" i="85"/>
  <c r="V154" i="53"/>
  <c r="BE8" i="55"/>
  <c r="N8" i="55"/>
  <c r="K33" i="87"/>
  <c r="D109" i="41"/>
  <c r="D110" i="41" s="1"/>
  <c r="M91" i="41"/>
  <c r="DR9" i="16"/>
  <c r="X124" i="59"/>
  <c r="BE132" i="53"/>
  <c r="N132" i="53"/>
  <c r="M62" i="87"/>
  <c r="J80" i="86"/>
  <c r="J81" i="86" s="1"/>
  <c r="N40" i="52"/>
  <c r="BE127" i="52"/>
  <c r="BT127" i="52" s="1"/>
  <c r="N127" i="52"/>
  <c r="E4" i="41"/>
  <c r="E124" i="57"/>
  <c r="E154" i="59"/>
  <c r="E124" i="59"/>
  <c r="E124" i="53"/>
  <c r="E64" i="53"/>
  <c r="E154" i="55"/>
  <c r="E4" i="57"/>
  <c r="E34" i="57"/>
  <c r="E124" i="55"/>
  <c r="E64" i="59"/>
  <c r="E154" i="57"/>
  <c r="E94" i="55"/>
  <c r="G4" i="58"/>
  <c r="K154" i="58"/>
  <c r="E34" i="58"/>
  <c r="M124" i="58"/>
  <c r="E124" i="58"/>
  <c r="K34" i="58"/>
  <c r="G154" i="58"/>
  <c r="I34" i="58"/>
  <c r="J109" i="85"/>
  <c r="J110" i="85"/>
  <c r="M91" i="85"/>
  <c r="D109" i="85"/>
  <c r="D110" i="85"/>
  <c r="F22" i="57"/>
  <c r="W23" i="57"/>
  <c r="F23" i="57" s="1"/>
  <c r="M34" i="52"/>
  <c r="I94" i="52"/>
  <c r="G154" i="52"/>
  <c r="M64" i="52"/>
  <c r="M154" i="52"/>
  <c r="K4" i="52"/>
  <c r="G64" i="52"/>
  <c r="M94" i="52"/>
  <c r="BE102" i="55"/>
  <c r="N131" i="55"/>
  <c r="BE131" i="55"/>
  <c r="AG6" i="16"/>
  <c r="V34" i="53" s="1"/>
  <c r="AH7" i="16"/>
  <c r="G62" i="45" s="1"/>
  <c r="AI6" i="16"/>
  <c r="I33" i="45" s="1"/>
  <c r="AJ8" i="16"/>
  <c r="AB94" i="53" s="1"/>
  <c r="BT164" i="52"/>
  <c r="AK6" i="16"/>
  <c r="AD34" i="53" s="1"/>
  <c r="AH8" i="16"/>
  <c r="X94" i="53" s="1"/>
  <c r="AB34" i="58"/>
  <c r="BO45" i="59"/>
  <c r="AK5" i="16"/>
  <c r="AK11" i="16" s="1"/>
  <c r="AJ7" i="16"/>
  <c r="K62" i="45" s="1"/>
  <c r="N161" i="58"/>
  <c r="DR18" i="16"/>
  <c r="BE136" i="58"/>
  <c r="N136" i="58"/>
  <c r="BF164" i="52"/>
  <c r="BG15" i="53"/>
  <c r="BO68" i="52"/>
  <c r="BO15" i="53"/>
  <c r="AK8" i="16"/>
  <c r="M91" i="45" s="1"/>
  <c r="AH9" i="16"/>
  <c r="AP9" i="16" s="1"/>
  <c r="AG7" i="16"/>
  <c r="V64" i="53" s="1"/>
  <c r="N99" i="57"/>
  <c r="N47" i="52"/>
  <c r="N164" i="52"/>
  <c r="M62" i="85"/>
  <c r="BT69" i="53"/>
  <c r="BG72" i="53"/>
  <c r="AK7" i="16"/>
  <c r="N160" i="55"/>
  <c r="N17" i="53"/>
  <c r="BO71" i="52"/>
  <c r="BG161" i="52"/>
  <c r="BO69" i="53"/>
  <c r="BT72" i="53"/>
  <c r="D82" i="53"/>
  <c r="AJ6" i="16"/>
  <c r="AB34" i="53" s="1"/>
  <c r="AI8" i="16"/>
  <c r="Z94" i="53" s="1"/>
  <c r="BS45" i="59"/>
  <c r="AI7" i="16"/>
  <c r="Z64" i="53" s="1"/>
  <c r="N71" i="53"/>
  <c r="J80" i="85"/>
  <c r="J81" i="85" s="1"/>
  <c r="BS98" i="53"/>
  <c r="L112" i="57"/>
  <c r="AJ5" i="16"/>
  <c r="K4" i="45"/>
  <c r="AH6" i="16"/>
  <c r="G33" i="45" s="1"/>
  <c r="BE108" i="53"/>
  <c r="N71" i="59"/>
  <c r="N77" i="52"/>
  <c r="N104" i="52"/>
  <c r="BE104" i="52"/>
  <c r="BS72" i="53"/>
  <c r="AI10" i="16"/>
  <c r="Z154" i="53" s="1"/>
  <c r="H112" i="53"/>
  <c r="Y117" i="53"/>
  <c r="Z103" i="53" s="1"/>
  <c r="I103" i="53" s="1"/>
  <c r="N132" i="57"/>
  <c r="BS135" i="52"/>
  <c r="BS138" i="59"/>
  <c r="BT68" i="59"/>
  <c r="BG133" i="59"/>
  <c r="BS133" i="52"/>
  <c r="BT70" i="58"/>
  <c r="BT40" i="59"/>
  <c r="BE68" i="57"/>
  <c r="N68" i="57"/>
  <c r="BS10" i="52"/>
  <c r="BT133" i="55"/>
  <c r="BT46" i="52"/>
  <c r="BS77" i="52"/>
  <c r="BT136" i="55"/>
  <c r="BS13" i="52"/>
  <c r="BF97" i="58"/>
  <c r="BG74" i="58"/>
  <c r="BT103" i="55"/>
  <c r="BT157" i="55"/>
  <c r="BT127" i="57"/>
  <c r="BT130" i="57"/>
  <c r="N158" i="55"/>
  <c r="BS46" i="52"/>
  <c r="AD4" i="53"/>
  <c r="X124" i="53"/>
  <c r="AH11" i="16"/>
  <c r="AB4" i="53"/>
  <c r="AP5" i="16"/>
  <c r="G91" i="45"/>
  <c r="N41" i="99"/>
  <c r="O41" i="99" s="1"/>
  <c r="N38" i="99"/>
  <c r="O38" i="99" s="1"/>
  <c r="O42" i="99"/>
  <c r="E33" i="45"/>
  <c r="K91" i="45"/>
  <c r="AD64" i="53"/>
  <c r="M62" i="45"/>
  <c r="I62" i="45"/>
  <c r="K33" i="45"/>
  <c r="M39" i="99"/>
  <c r="M42" i="99"/>
  <c r="M38" i="99"/>
  <c r="M41" i="99"/>
  <c r="N32" i="97"/>
  <c r="M13" i="97"/>
  <c r="N6" i="97"/>
  <c r="O6" i="97" s="1"/>
  <c r="M33" i="97"/>
  <c r="B10" i="58"/>
  <c r="M21" i="99"/>
  <c r="N21" i="99"/>
  <c r="O21" i="99" s="1"/>
  <c r="N37" i="97"/>
  <c r="O37" i="97" s="1"/>
  <c r="M37" i="97"/>
  <c r="M24" i="99"/>
  <c r="N24" i="99"/>
  <c r="O24" i="99" s="1"/>
  <c r="B17" i="58"/>
  <c r="M11" i="99"/>
  <c r="N11" i="99"/>
  <c r="O11" i="99" s="1"/>
  <c r="N6" i="99"/>
  <c r="O6" i="99" s="1"/>
  <c r="M9" i="97"/>
  <c r="N25" i="97"/>
  <c r="O25" i="97"/>
  <c r="M40" i="99"/>
  <c r="M18" i="97"/>
  <c r="N18" i="97"/>
  <c r="N42" i="97"/>
  <c r="M42" i="97"/>
  <c r="N18" i="99"/>
  <c r="O18" i="99" s="1"/>
  <c r="N35" i="99"/>
  <c r="O35" i="99" s="1"/>
  <c r="N3" i="99"/>
  <c r="O3" i="99" s="1"/>
  <c r="M8" i="97"/>
  <c r="M20" i="99"/>
  <c r="M23" i="97"/>
  <c r="N39" i="97"/>
  <c r="N10" i="97"/>
  <c r="O10" i="97" s="1"/>
  <c r="M10" i="97"/>
  <c r="N22" i="99"/>
  <c r="O22" i="99" s="1"/>
  <c r="N15" i="97"/>
  <c r="O15" i="97" s="1"/>
  <c r="M15" i="97"/>
  <c r="N12" i="99"/>
  <c r="O12" i="99" s="1"/>
  <c r="E62" i="45"/>
  <c r="AG11" i="16"/>
  <c r="E120" i="45"/>
  <c r="H138" i="45"/>
  <c r="H139" i="45" s="1"/>
  <c r="F138" i="45"/>
  <c r="F139" i="45" s="1"/>
  <c r="I120" i="45"/>
  <c r="L138" i="45"/>
  <c r="L139" i="45" s="1"/>
  <c r="M120" i="45"/>
  <c r="D138" i="45"/>
  <c r="D139" i="45" s="1"/>
  <c r="B147" i="45"/>
  <c r="K120" i="45"/>
  <c r="J138" i="45"/>
  <c r="J139" i="45" s="1"/>
  <c r="B119" i="45"/>
  <c r="AJ11" i="16"/>
  <c r="E91" i="45"/>
  <c r="L109" i="45"/>
  <c r="L110" i="45" s="1"/>
  <c r="H109" i="45"/>
  <c r="H110" i="45" s="1"/>
  <c r="J109" i="45"/>
  <c r="J110" i="45" s="1"/>
  <c r="F109" i="45"/>
  <c r="F110" i="45" s="1"/>
  <c r="I91" i="45"/>
  <c r="D109" i="45"/>
  <c r="D110" i="45" s="1"/>
  <c r="B90" i="45"/>
  <c r="J138" i="87"/>
  <c r="J139" i="87" s="1"/>
  <c r="F138" i="87"/>
  <c r="F139" i="87" s="1"/>
  <c r="B147" i="87"/>
  <c r="G120" i="87"/>
  <c r="M120" i="87"/>
  <c r="H138" i="87"/>
  <c r="H139" i="87" s="1"/>
  <c r="D138" i="87"/>
  <c r="D139" i="87" s="1"/>
  <c r="K120" i="87"/>
  <c r="E120" i="87"/>
  <c r="L138" i="87"/>
  <c r="L139" i="87"/>
  <c r="AP10" i="16"/>
  <c r="M1" i="55"/>
  <c r="A2" i="63"/>
  <c r="E2" i="59"/>
  <c r="A3" i="69"/>
  <c r="I34" i="52"/>
  <c r="K64" i="52"/>
  <c r="K124" i="52"/>
  <c r="M124" i="52"/>
  <c r="G124" i="52"/>
  <c r="I64" i="52"/>
  <c r="G4" i="52"/>
  <c r="K34" i="52"/>
  <c r="E94" i="52"/>
  <c r="K94" i="52"/>
  <c r="M4" i="52"/>
  <c r="I154" i="52"/>
  <c r="E34" i="52"/>
  <c r="E64" i="52"/>
  <c r="E154" i="52"/>
  <c r="E4" i="52"/>
  <c r="E124" i="52"/>
  <c r="B90" i="85"/>
  <c r="V4" i="58"/>
  <c r="E4" i="87"/>
  <c r="V4" i="59"/>
  <c r="AD94" i="55"/>
  <c r="H109" i="85"/>
  <c r="H110" i="85"/>
  <c r="E4" i="86"/>
  <c r="L80" i="45"/>
  <c r="L81" i="45" s="1"/>
  <c r="D80" i="45"/>
  <c r="D81" i="45" s="1"/>
  <c r="H80" i="45"/>
  <c r="H81" i="45" s="1"/>
  <c r="N139" i="59"/>
  <c r="BB140" i="59"/>
  <c r="V64" i="55"/>
  <c r="BA11" i="16"/>
  <c r="V34" i="55"/>
  <c r="V9" i="16"/>
  <c r="Z34" i="58"/>
  <c r="BE37" i="55"/>
  <c r="N37" i="55"/>
  <c r="BE48" i="58"/>
  <c r="N48" i="58"/>
  <c r="L169" i="59"/>
  <c r="AE169" i="59"/>
  <c r="B89" i="86"/>
  <c r="D80" i="86"/>
  <c r="D81" i="86" s="1"/>
  <c r="AA113" i="59"/>
  <c r="J113" i="59" s="1"/>
  <c r="AA115" i="59"/>
  <c r="AB97" i="59" s="1"/>
  <c r="K97" i="59" s="1"/>
  <c r="DI11" i="16"/>
  <c r="CD6" i="16"/>
  <c r="BU11" i="16"/>
  <c r="L109" i="41"/>
  <c r="L110" i="41" s="1"/>
  <c r="B90" i="41"/>
  <c r="B118" i="41"/>
  <c r="K91" i="41"/>
  <c r="V154" i="58"/>
  <c r="H142" i="55"/>
  <c r="Y143" i="55"/>
  <c r="H143" i="55" s="1"/>
  <c r="BE102" i="52"/>
  <c r="N102" i="52"/>
  <c r="N42" i="53"/>
  <c r="BE42" i="53"/>
  <c r="BE99" i="53"/>
  <c r="N99" i="53"/>
  <c r="N131" i="53"/>
  <c r="BE131" i="53"/>
  <c r="BE7" i="58"/>
  <c r="N7" i="58"/>
  <c r="CD7" i="16"/>
  <c r="E91" i="85"/>
  <c r="N19" i="55"/>
  <c r="Z154" i="52"/>
  <c r="V10" i="16"/>
  <c r="X124" i="58"/>
  <c r="X154" i="59"/>
  <c r="DR10" i="16"/>
  <c r="B118" i="85"/>
  <c r="W83" i="52"/>
  <c r="F83" i="52" s="1"/>
  <c r="F82" i="52"/>
  <c r="F109" i="85"/>
  <c r="F110" i="85" s="1"/>
  <c r="K4" i="41"/>
  <c r="K34" i="53"/>
  <c r="K34" i="59"/>
  <c r="K154" i="55"/>
  <c r="K154" i="59"/>
  <c r="K4" i="57"/>
  <c r="K124" i="53"/>
  <c r="K154" i="53"/>
  <c r="K94" i="58"/>
  <c r="K64" i="55"/>
  <c r="K94" i="57"/>
  <c r="K94" i="53"/>
  <c r="K4" i="58"/>
  <c r="K124" i="59"/>
  <c r="K154" i="57"/>
  <c r="K64" i="57"/>
  <c r="K124" i="55"/>
  <c r="K34" i="57"/>
  <c r="K124" i="57"/>
  <c r="K4" i="53"/>
  <c r="V5" i="16"/>
  <c r="D118" i="41"/>
  <c r="V62" i="52"/>
  <c r="E62" i="52" s="1"/>
  <c r="D147" i="41"/>
  <c r="D2" i="41"/>
  <c r="E8" i="89" s="1"/>
  <c r="V32" i="52"/>
  <c r="E32" i="52"/>
  <c r="AB64" i="57"/>
  <c r="N168" i="57"/>
  <c r="L109" i="85"/>
  <c r="L110" i="85" s="1"/>
  <c r="DM11" i="16"/>
  <c r="AB4" i="57"/>
  <c r="K4" i="85"/>
  <c r="DR6" i="16"/>
  <c r="J52" i="59"/>
  <c r="BT167" i="59"/>
  <c r="BG13" i="57"/>
  <c r="BS39" i="59"/>
  <c r="BG40" i="59"/>
  <c r="BS73" i="59"/>
  <c r="G33" i="84"/>
  <c r="BS39" i="57"/>
  <c r="BF47" i="59"/>
  <c r="BS69" i="52"/>
  <c r="BF98" i="53"/>
  <c r="BS137" i="57"/>
  <c r="BO42" i="59"/>
  <c r="E62" i="41"/>
  <c r="B60" i="84"/>
  <c r="BB11" i="16"/>
  <c r="M34" i="57"/>
  <c r="B3" i="57"/>
  <c r="BG132" i="57"/>
  <c r="W118" i="58"/>
  <c r="F118" i="58" s="1"/>
  <c r="W117" i="58"/>
  <c r="W113" i="58"/>
  <c r="F113" i="58" s="1"/>
  <c r="BE46" i="58"/>
  <c r="BT46" i="58" s="1"/>
  <c r="N46" i="58"/>
  <c r="BT129" i="53"/>
  <c r="BS129" i="53"/>
  <c r="BS41" i="53"/>
  <c r="BS71" i="59"/>
  <c r="BS132" i="58"/>
  <c r="BG42" i="59"/>
  <c r="BT158" i="57"/>
  <c r="BF11" i="59"/>
  <c r="BF39" i="57"/>
  <c r="BT135" i="57"/>
  <c r="BO104" i="59"/>
  <c r="L51" i="84"/>
  <c r="L52" i="84" s="1"/>
  <c r="K33" i="84"/>
  <c r="BE108" i="57"/>
  <c r="N108" i="57"/>
  <c r="BS165" i="55"/>
  <c r="BG165" i="55"/>
  <c r="N48" i="96" s="1"/>
  <c r="O48" i="96" s="1"/>
  <c r="M16" i="97"/>
  <c r="BO168" i="58"/>
  <c r="BT37" i="59"/>
  <c r="BF45" i="59"/>
  <c r="BS104" i="59"/>
  <c r="BT107" i="59"/>
  <c r="BT132" i="57"/>
  <c r="BO72" i="52"/>
  <c r="BG44" i="53"/>
  <c r="BG69" i="52"/>
  <c r="BT44" i="53"/>
  <c r="BO167" i="55"/>
  <c r="BF165" i="58"/>
  <c r="BO137" i="58"/>
  <c r="BS17" i="59"/>
  <c r="BO107" i="59"/>
  <c r="CS10" i="16"/>
  <c r="CX10" i="16" s="1"/>
  <c r="CS6" i="16"/>
  <c r="M33" i="86" s="1"/>
  <c r="CP6" i="16"/>
  <c r="CQ9" i="16"/>
  <c r="I120" i="86" s="1"/>
  <c r="CP7" i="16"/>
  <c r="CS7" i="16"/>
  <c r="CP8" i="16"/>
  <c r="CO7" i="16"/>
  <c r="CR5" i="16"/>
  <c r="CR8" i="16"/>
  <c r="BE97" i="57"/>
  <c r="BT97" i="57"/>
  <c r="N97" i="57"/>
  <c r="M10" i="96"/>
  <c r="BT158" i="58"/>
  <c r="BG158" i="58"/>
  <c r="BT17" i="59"/>
  <c r="BF17" i="59"/>
  <c r="E33" i="84"/>
  <c r="BS70" i="59"/>
  <c r="BT104" i="59"/>
  <c r="BF42" i="57"/>
  <c r="I4" i="86"/>
  <c r="N129" i="58"/>
  <c r="BF77" i="52"/>
  <c r="BF137" i="57"/>
  <c r="BF168" i="58"/>
  <c r="BO158" i="58"/>
  <c r="BT14" i="59"/>
  <c r="E33" i="41"/>
  <c r="BE159" i="57"/>
  <c r="N159" i="57"/>
  <c r="N106" i="59"/>
  <c r="BE106" i="59"/>
  <c r="M2" i="99"/>
  <c r="N9" i="53"/>
  <c r="BF39" i="59"/>
  <c r="BT69" i="52"/>
  <c r="BF69" i="52"/>
  <c r="BO44" i="53"/>
  <c r="BS162" i="55"/>
  <c r="BS14" i="59"/>
  <c r="I33" i="84"/>
  <c r="D80" i="85"/>
  <c r="D81" i="85" s="1"/>
  <c r="BE76" i="52"/>
  <c r="N76" i="52"/>
  <c r="BE162" i="58"/>
  <c r="N162" i="58"/>
  <c r="BT165" i="58"/>
  <c r="BF129" i="53"/>
  <c r="BF167" i="55"/>
  <c r="BG44" i="57"/>
  <c r="BS165" i="58"/>
  <c r="BT102" i="59"/>
  <c r="BO9" i="59"/>
  <c r="BO14" i="59"/>
  <c r="BE162" i="53"/>
  <c r="N162" i="53"/>
  <c r="N11" i="57"/>
  <c r="BE11" i="57"/>
  <c r="BO14" i="53"/>
  <c r="BS14" i="53"/>
  <c r="BT159" i="57"/>
  <c r="BG159" i="57"/>
  <c r="BG67" i="58"/>
  <c r="BO67" i="58"/>
  <c r="BT78" i="58"/>
  <c r="BS78" i="58"/>
  <c r="D82" i="57"/>
  <c r="N47" i="57"/>
  <c r="BT130" i="59"/>
  <c r="BF70" i="59"/>
  <c r="BF130" i="59"/>
  <c r="BF140" i="59" s="1"/>
  <c r="BS167" i="55"/>
  <c r="M102" i="96" s="1"/>
  <c r="BT77" i="52"/>
  <c r="BO77" i="52"/>
  <c r="BO129" i="53"/>
  <c r="BS44" i="57"/>
  <c r="BO132" i="57"/>
  <c r="BF137" i="58"/>
  <c r="BT9" i="59"/>
  <c r="D51" i="84"/>
  <c r="D52" i="84" s="1"/>
  <c r="F51" i="84"/>
  <c r="F52" i="84" s="1"/>
  <c r="N15" i="53"/>
  <c r="BE15" i="53"/>
  <c r="N162" i="55"/>
  <c r="BE162" i="55"/>
  <c r="BO101" i="55"/>
  <c r="BT101" i="55"/>
  <c r="BF37" i="59"/>
  <c r="BF50" i="59" s="1"/>
  <c r="BG70" i="59"/>
  <c r="BO130" i="59"/>
  <c r="BT44" i="57"/>
  <c r="BG129" i="53"/>
  <c r="BF162" i="55"/>
  <c r="BO44" i="57"/>
  <c r="BS132" i="57"/>
  <c r="BO132" i="58"/>
  <c r="AC113" i="52"/>
  <c r="L113" i="52"/>
  <c r="BE99" i="59"/>
  <c r="N99" i="59"/>
  <c r="BT70" i="59"/>
  <c r="BS167" i="59"/>
  <c r="BF40" i="59"/>
  <c r="BS37" i="59"/>
  <c r="BT39" i="59"/>
  <c r="BS47" i="59"/>
  <c r="BT168" i="58"/>
  <c r="BT72" i="52"/>
  <c r="BS42" i="57"/>
  <c r="BF132" i="58"/>
  <c r="N27" i="97"/>
  <c r="M33" i="84"/>
  <c r="BT8" i="57"/>
  <c r="BO37" i="59"/>
  <c r="BT137" i="58"/>
  <c r="BF73" i="59"/>
  <c r="BS168" i="58"/>
  <c r="BS44" i="53"/>
  <c r="BO162" i="55"/>
  <c r="BO42" i="57"/>
  <c r="BO47" i="57"/>
  <c r="BT42" i="59"/>
  <c r="BE76" i="53"/>
  <c r="N76" i="53"/>
  <c r="BF164" i="59"/>
  <c r="G4" i="84"/>
  <c r="N108" i="55"/>
  <c r="H142" i="53"/>
  <c r="V18" i="16"/>
  <c r="BG41" i="52"/>
  <c r="N104" i="57"/>
  <c r="M19" i="99"/>
  <c r="M35" i="99"/>
  <c r="N41" i="59"/>
  <c r="BE41" i="59"/>
  <c r="M7" i="99"/>
  <c r="N23" i="99"/>
  <c r="O23" i="99" s="1"/>
  <c r="M38" i="97"/>
  <c r="N14" i="97"/>
  <c r="O14" i="97" s="1"/>
  <c r="M26" i="99"/>
  <c r="W176" i="52"/>
  <c r="N28" i="99"/>
  <c r="O28" i="99" s="1"/>
  <c r="BO72" i="53"/>
  <c r="N30" i="97"/>
  <c r="O30" i="97" s="1"/>
  <c r="N14" i="99"/>
  <c r="O14" i="99" s="1"/>
  <c r="N13" i="99"/>
  <c r="O13" i="99" s="1"/>
  <c r="BS157" i="52"/>
  <c r="BT15" i="53"/>
  <c r="M3" i="99"/>
  <c r="BT41" i="53"/>
  <c r="BG167" i="57"/>
  <c r="BO164" i="59"/>
  <c r="N41" i="96"/>
  <c r="O41" i="96" s="1"/>
  <c r="N94" i="96"/>
  <c r="O94" i="96" s="1"/>
  <c r="N33" i="99"/>
  <c r="O33" i="99" s="1"/>
  <c r="BS68" i="52"/>
  <c r="N8" i="97"/>
  <c r="BT157" i="59"/>
  <c r="N34" i="99"/>
  <c r="O34" i="99"/>
  <c r="BT100" i="58"/>
  <c r="N25" i="99"/>
  <c r="O25" i="99" s="1"/>
  <c r="BT160" i="55"/>
  <c r="M6" i="99"/>
  <c r="O39" i="99"/>
  <c r="BS48" i="52"/>
  <c r="BS71" i="52"/>
  <c r="BT106" i="58"/>
  <c r="BS7" i="57"/>
  <c r="M27" i="97" s="1"/>
  <c r="BO137" i="52"/>
  <c r="BG98" i="53"/>
  <c r="BT13" i="59"/>
  <c r="X64" i="58"/>
  <c r="G62" i="86"/>
  <c r="G33" i="86"/>
  <c r="X34" i="58"/>
  <c r="M44" i="99"/>
  <c r="M43" i="99"/>
  <c r="M45" i="99"/>
  <c r="CS11" i="16"/>
  <c r="B147" i="85"/>
  <c r="B119" i="85"/>
  <c r="K120" i="85"/>
  <c r="H138" i="85"/>
  <c r="H139" i="85" s="1"/>
  <c r="D138" i="85"/>
  <c r="D139" i="85" s="1"/>
  <c r="L138" i="85"/>
  <c r="L139" i="85" s="1"/>
  <c r="I120" i="85"/>
  <c r="E120" i="85"/>
  <c r="M120" i="85"/>
  <c r="J138" i="85"/>
  <c r="J139" i="85"/>
  <c r="F138" i="85"/>
  <c r="F139" i="85" s="1"/>
  <c r="M66" i="96"/>
  <c r="M88" i="96"/>
  <c r="G91" i="86"/>
  <c r="F109" i="86"/>
  <c r="F110" i="86" s="1"/>
  <c r="J109" i="86"/>
  <c r="J110" i="86"/>
  <c r="E91" i="86"/>
  <c r="L109" i="86"/>
  <c r="L110" i="86" s="1"/>
  <c r="I91" i="86"/>
  <c r="B90" i="86"/>
  <c r="D109" i="86"/>
  <c r="D110" i="86" s="1"/>
  <c r="B118" i="86"/>
  <c r="H109" i="86"/>
  <c r="H110" i="86" s="1"/>
  <c r="F167" i="87"/>
  <c r="F168" i="87" s="1"/>
  <c r="B148" i="87"/>
  <c r="L167" i="87"/>
  <c r="L168" i="87" s="1"/>
  <c r="D167" i="87"/>
  <c r="D168" i="87" s="1"/>
  <c r="E149" i="87"/>
  <c r="H167" i="87"/>
  <c r="H168" i="87" s="1"/>
  <c r="G149" i="87"/>
  <c r="K149" i="87"/>
  <c r="M149" i="87"/>
  <c r="J167" i="87"/>
  <c r="J168" i="87" s="1"/>
  <c r="I149" i="87"/>
  <c r="M84" i="97"/>
  <c r="N43" i="99"/>
  <c r="O43" i="99" s="1"/>
  <c r="N45" i="99"/>
  <c r="O45" i="99" s="1"/>
  <c r="N44" i="99"/>
  <c r="O44" i="99" s="1"/>
  <c r="M57" i="97"/>
  <c r="M43" i="97"/>
  <c r="M86" i="97"/>
  <c r="M44" i="97"/>
  <c r="M77" i="97"/>
  <c r="M101" i="97"/>
  <c r="M62" i="97"/>
  <c r="M73" i="97"/>
  <c r="M54" i="97"/>
  <c r="M85" i="97"/>
  <c r="N44" i="97"/>
  <c r="O44" i="97" s="1"/>
  <c r="E149" i="45"/>
  <c r="H167" i="45"/>
  <c r="H168" i="45" s="1"/>
  <c r="B148" i="45"/>
  <c r="K149" i="45"/>
  <c r="I149" i="45"/>
  <c r="D167" i="45"/>
  <c r="D168" i="45" s="1"/>
  <c r="J167" i="45"/>
  <c r="J168" i="45" s="1"/>
  <c r="M149" i="45"/>
  <c r="L167" i="45"/>
  <c r="L168" i="45" s="1"/>
  <c r="F167" i="45"/>
  <c r="F168" i="45" s="1"/>
  <c r="G149" i="45"/>
  <c r="N81" i="98"/>
  <c r="O81" i="98" s="1"/>
  <c r="CR11" i="16"/>
  <c r="AB4" i="58"/>
  <c r="K4" i="86"/>
  <c r="N100" i="96"/>
  <c r="O100" i="96" s="1"/>
  <c r="N85" i="96"/>
  <c r="O85" i="96" s="1"/>
  <c r="N62" i="96"/>
  <c r="O62" i="96" s="1"/>
  <c r="N86" i="96"/>
  <c r="O86" i="96" s="1"/>
  <c r="M100" i="97"/>
  <c r="CX7" i="16"/>
  <c r="M68" i="97"/>
  <c r="M46" i="97"/>
  <c r="X94" i="58"/>
  <c r="BB170" i="59"/>
  <c r="N169" i="59"/>
  <c r="M58" i="97"/>
  <c r="M78" i="97"/>
  <c r="H80" i="84"/>
  <c r="H81" i="84" s="1"/>
  <c r="F80" i="84"/>
  <c r="F81" i="84" s="1"/>
  <c r="M62" i="84"/>
  <c r="D80" i="84"/>
  <c r="D81" i="84" s="1"/>
  <c r="L80" i="84"/>
  <c r="L81" i="84" s="1"/>
  <c r="G62" i="84"/>
  <c r="I62" i="84"/>
  <c r="B61" i="84"/>
  <c r="B89" i="84"/>
  <c r="G91" i="84" s="1"/>
  <c r="K62" i="84"/>
  <c r="E62" i="84"/>
  <c r="J80" i="84"/>
  <c r="J81" i="84" s="1"/>
  <c r="D109" i="84"/>
  <c r="D110" i="84" s="1"/>
  <c r="B90" i="84"/>
  <c r="B118" i="84"/>
  <c r="F109" i="84"/>
  <c r="F110" i="84" s="1"/>
  <c r="M120" i="86"/>
  <c r="F138" i="86"/>
  <c r="F139" i="86" s="1"/>
  <c r="B147" i="86"/>
  <c r="L167" i="86" s="1"/>
  <c r="L168" i="86" s="1"/>
  <c r="G120" i="86"/>
  <c r="D138" i="86"/>
  <c r="D139" i="86" s="1"/>
  <c r="K120" i="86"/>
  <c r="J138" i="86"/>
  <c r="J139" i="86" s="1"/>
  <c r="B119" i="86"/>
  <c r="H138" i="86"/>
  <c r="H139" i="86" s="1"/>
  <c r="L138" i="86"/>
  <c r="L139" i="86" s="1"/>
  <c r="E149" i="85"/>
  <c r="B148" i="85"/>
  <c r="K149" i="85"/>
  <c r="J167" i="85"/>
  <c r="J168" i="85" s="1"/>
  <c r="M149" i="85"/>
  <c r="L167" i="85"/>
  <c r="L168" i="85" s="1"/>
  <c r="D167" i="85"/>
  <c r="D168" i="85" s="1"/>
  <c r="I149" i="85"/>
  <c r="F167" i="85"/>
  <c r="F168" i="85"/>
  <c r="H167" i="85"/>
  <c r="H168" i="85" s="1"/>
  <c r="I120" i="84"/>
  <c r="B148" i="86"/>
  <c r="I149" i="86"/>
  <c r="G149" i="86"/>
  <c r="E149" i="86"/>
  <c r="F167" i="86"/>
  <c r="F168" i="86" s="1"/>
  <c r="BF163" i="52"/>
  <c r="BO163" i="52"/>
  <c r="BO160" i="52"/>
  <c r="BT160" i="52"/>
  <c r="BS160" i="52"/>
  <c r="BG160" i="52"/>
  <c r="AE169" i="52"/>
  <c r="BB170" i="52" s="1"/>
  <c r="BT157" i="52"/>
  <c r="BG157" i="52"/>
  <c r="BF157" i="52"/>
  <c r="BS136" i="52"/>
  <c r="BO136" i="52"/>
  <c r="BF136" i="52"/>
  <c r="BF140" i="52"/>
  <c r="BT133" i="52"/>
  <c r="BS103" i="52"/>
  <c r="BO103" i="52"/>
  <c r="BF103" i="52"/>
  <c r="BT103" i="52"/>
  <c r="L109" i="52"/>
  <c r="BE97" i="52"/>
  <c r="BT97" i="52" s="1"/>
  <c r="N14" i="88"/>
  <c r="O14" i="88" s="1"/>
  <c r="L79" i="52"/>
  <c r="BT76" i="52"/>
  <c r="BF76" i="52"/>
  <c r="BG70" i="52"/>
  <c r="N3" i="88" s="1"/>
  <c r="BF70" i="52"/>
  <c r="BO70" i="52"/>
  <c r="BF67" i="52"/>
  <c r="BT67" i="52"/>
  <c r="BT43" i="52"/>
  <c r="BF43" i="52"/>
  <c r="AE49" i="52"/>
  <c r="BG43" i="52"/>
  <c r="N20" i="88" s="1"/>
  <c r="BS37" i="52"/>
  <c r="BT37" i="52"/>
  <c r="BG37" i="52"/>
  <c r="BF37" i="52"/>
  <c r="B98" i="57"/>
  <c r="M15" i="99"/>
  <c r="N15" i="99"/>
  <c r="O15" i="99" s="1"/>
  <c r="N31" i="99"/>
  <c r="O31" i="99" s="1"/>
  <c r="M31" i="99"/>
  <c r="B8" i="53"/>
  <c r="N17" i="99"/>
  <c r="O17" i="99"/>
  <c r="M17" i="99"/>
  <c r="L148" i="59"/>
  <c r="M41" i="97"/>
  <c r="N41" i="97"/>
  <c r="O41" i="97" s="1"/>
  <c r="N27" i="99"/>
  <c r="O27" i="99" s="1"/>
  <c r="M27" i="99"/>
  <c r="AB106" i="52"/>
  <c r="K106" i="52" s="1"/>
  <c r="M11" i="96"/>
  <c r="N7" i="88"/>
  <c r="O7" i="88" s="1"/>
  <c r="M16" i="99"/>
  <c r="N16" i="99"/>
  <c r="O16" i="99" s="1"/>
  <c r="N27" i="88"/>
  <c r="O27" i="88" s="1"/>
  <c r="BG7" i="52"/>
  <c r="N29" i="88" s="1"/>
  <c r="BF7" i="52"/>
  <c r="BF20" i="52" s="1"/>
  <c r="BO7" i="52"/>
  <c r="BS7" i="52"/>
  <c r="N26" i="88"/>
  <c r="N30" i="88"/>
  <c r="M32" i="88"/>
  <c r="M13" i="88"/>
  <c r="M30" i="88"/>
  <c r="M25" i="88"/>
  <c r="N6" i="88"/>
  <c r="M18" i="88"/>
  <c r="M7" i="88"/>
  <c r="M43" i="88"/>
  <c r="M5" i="88"/>
  <c r="N12" i="88"/>
  <c r="N35" i="88"/>
  <c r="M16" i="88"/>
  <c r="M19" i="88"/>
  <c r="N39" i="88"/>
  <c r="N4" i="88"/>
  <c r="N42" i="88"/>
  <c r="N16" i="88"/>
  <c r="O16" i="88" s="1"/>
  <c r="N24" i="88"/>
  <c r="M35" i="88"/>
  <c r="N11" i="88"/>
  <c r="M15" i="88"/>
  <c r="N22" i="88"/>
  <c r="N15" i="88"/>
  <c r="O15" i="88" s="1"/>
  <c r="B16" i="52"/>
  <c r="M22" i="88"/>
  <c r="O22" i="88"/>
  <c r="N44" i="88"/>
  <c r="O44" i="88" s="1"/>
  <c r="AB97" i="52"/>
  <c r="K97" i="52" s="1"/>
  <c r="M6" i="88"/>
  <c r="M21" i="88"/>
  <c r="N32" i="88"/>
  <c r="M34" i="88"/>
  <c r="N37" i="88"/>
  <c r="M26" i="88"/>
  <c r="M17" i="88"/>
  <c r="N43" i="88"/>
  <c r="O43" i="88" s="1"/>
  <c r="M24" i="88"/>
  <c r="M31" i="88"/>
  <c r="M39" i="88"/>
  <c r="M8" i="88"/>
  <c r="N31" i="88"/>
  <c r="M14" i="88"/>
  <c r="M2" i="88"/>
  <c r="N13" i="88"/>
  <c r="M42" i="88"/>
  <c r="N21" i="88"/>
  <c r="N10" i="88"/>
  <c r="M41" i="88"/>
  <c r="M44" i="88"/>
  <c r="M11" i="88"/>
  <c r="M38" i="88"/>
  <c r="M3" i="88"/>
  <c r="N45" i="88"/>
  <c r="O45" i="88" s="1"/>
  <c r="M20" i="88"/>
  <c r="M40" i="88"/>
  <c r="M4" i="88"/>
  <c r="N25" i="88"/>
  <c r="M9" i="88"/>
  <c r="M12" i="88"/>
  <c r="N36" i="88"/>
  <c r="M29" i="88"/>
  <c r="M10" i="88"/>
  <c r="N18" i="88"/>
  <c r="M27" i="88"/>
  <c r="N38" i="88"/>
  <c r="N9" i="88"/>
  <c r="O9" i="88" s="1"/>
  <c r="M45" i="88"/>
  <c r="M36" i="88"/>
  <c r="M23" i="88"/>
  <c r="M37" i="88"/>
  <c r="N28" i="88"/>
  <c r="O28" i="88" s="1"/>
  <c r="N34" i="88"/>
  <c r="O34" i="88" s="1"/>
  <c r="M28" i="88"/>
  <c r="N40" i="88"/>
  <c r="O40" i="88" s="1"/>
  <c r="N41" i="88"/>
  <c r="N49" i="52"/>
  <c r="BB50" i="52"/>
  <c r="O12" i="88"/>
  <c r="O11" i="88"/>
  <c r="O42" i="88"/>
  <c r="O30" i="88"/>
  <c r="O26" i="88"/>
  <c r="O4" i="88"/>
  <c r="O39" i="88"/>
  <c r="O10" i="88"/>
  <c r="O35" i="88"/>
  <c r="O31" i="88"/>
  <c r="O21" i="88"/>
  <c r="O3" i="88"/>
  <c r="O25" i="88"/>
  <c r="O37" i="88"/>
  <c r="O6" i="88"/>
  <c r="O13" i="88"/>
  <c r="O20" i="88"/>
  <c r="O36" i="88"/>
  <c r="O38" i="88"/>
  <c r="O18" i="88"/>
  <c r="O24" i="88"/>
  <c r="AE169" i="53"/>
  <c r="BB170" i="53" s="1"/>
  <c r="BG166" i="53"/>
  <c r="BE166" i="53"/>
  <c r="BT166" i="53"/>
  <c r="BO163" i="53"/>
  <c r="BS163" i="53"/>
  <c r="BF163" i="53"/>
  <c r="BG163" i="53"/>
  <c r="BO161" i="53"/>
  <c r="BF161" i="53"/>
  <c r="BT160" i="53"/>
  <c r="BG160" i="53"/>
  <c r="BF160" i="53"/>
  <c r="BG157" i="53"/>
  <c r="BS157" i="53"/>
  <c r="BE157" i="53"/>
  <c r="BT157" i="53" s="1"/>
  <c r="BO157" i="53"/>
  <c r="BS133" i="53"/>
  <c r="M36" i="95" s="1"/>
  <c r="M36" i="100" s="1"/>
  <c r="BO133" i="53"/>
  <c r="BT130" i="53"/>
  <c r="BG130" i="53"/>
  <c r="BS130" i="53"/>
  <c r="BO130" i="53"/>
  <c r="BF130" i="53"/>
  <c r="BE128" i="53"/>
  <c r="AE139" i="53"/>
  <c r="BE127" i="53"/>
  <c r="BF127" i="53"/>
  <c r="BT127" i="53"/>
  <c r="BS127" i="53"/>
  <c r="BO127" i="53"/>
  <c r="BO106" i="53"/>
  <c r="BS106" i="53"/>
  <c r="BG106" i="53"/>
  <c r="BF106" i="53"/>
  <c r="N106" i="53"/>
  <c r="BT103" i="53"/>
  <c r="N103" i="53"/>
  <c r="BF103" i="53"/>
  <c r="BG103" i="53"/>
  <c r="BS103" i="53"/>
  <c r="BG101" i="53"/>
  <c r="BS101" i="53"/>
  <c r="M68" i="95" s="1"/>
  <c r="BF101" i="53"/>
  <c r="BF100" i="53"/>
  <c r="N100" i="53"/>
  <c r="BS100" i="53"/>
  <c r="BT100" i="53"/>
  <c r="BE97" i="53"/>
  <c r="BT97" i="53" s="1"/>
  <c r="BS97" i="53"/>
  <c r="AE109" i="53"/>
  <c r="BO97" i="53"/>
  <c r="BG97" i="53"/>
  <c r="BF97" i="53"/>
  <c r="BF76" i="53"/>
  <c r="BG76" i="53"/>
  <c r="BT76" i="53"/>
  <c r="BO76" i="53"/>
  <c r="BF73" i="53"/>
  <c r="BT73" i="53"/>
  <c r="BG73" i="53"/>
  <c r="BS73" i="53"/>
  <c r="N70" i="53"/>
  <c r="AE79" i="53"/>
  <c r="BT67" i="53"/>
  <c r="BG67" i="53"/>
  <c r="N3" i="95" s="1"/>
  <c r="N3" i="100" s="1"/>
  <c r="O3" i="100" s="1"/>
  <c r="BO46" i="53"/>
  <c r="BS46" i="53"/>
  <c r="BT46" i="53"/>
  <c r="BT43" i="53"/>
  <c r="BF43" i="53"/>
  <c r="BG43" i="53"/>
  <c r="N43" i="53"/>
  <c r="BO40" i="53"/>
  <c r="BT40" i="53"/>
  <c r="BG40" i="53"/>
  <c r="AE49" i="53"/>
  <c r="N49" i="53"/>
  <c r="N40" i="53"/>
  <c r="BT37" i="53"/>
  <c r="B12" i="59"/>
  <c r="N29" i="97"/>
  <c r="N21" i="97"/>
  <c r="M49" i="97"/>
  <c r="M65" i="97"/>
  <c r="M81" i="97"/>
  <c r="B8" i="57"/>
  <c r="N4" i="97"/>
  <c r="M4" i="97"/>
  <c r="M92" i="97"/>
  <c r="M64" i="97"/>
  <c r="M4" i="99"/>
  <c r="N4" i="99"/>
  <c r="O4" i="99" s="1"/>
  <c r="M34" i="97"/>
  <c r="N34" i="97"/>
  <c r="O34" i="97" s="1"/>
  <c r="N5" i="99"/>
  <c r="O5" i="99" s="1"/>
  <c r="M5" i="99"/>
  <c r="B7" i="58"/>
  <c r="M36" i="99"/>
  <c r="N36" i="99"/>
  <c r="O36" i="99" s="1"/>
  <c r="N35" i="97"/>
  <c r="N40" i="97"/>
  <c r="M40" i="97"/>
  <c r="M79" i="96"/>
  <c r="M31" i="97"/>
  <c r="N31" i="97"/>
  <c r="M37" i="99"/>
  <c r="N37" i="99"/>
  <c r="O37" i="99" s="1"/>
  <c r="M9" i="99"/>
  <c r="N9" i="99"/>
  <c r="O9" i="99" s="1"/>
  <c r="M34" i="95"/>
  <c r="M34" i="100"/>
  <c r="M79" i="95"/>
  <c r="N14" i="95"/>
  <c r="N16" i="95"/>
  <c r="BO16" i="53"/>
  <c r="BF16" i="53"/>
  <c r="BS16" i="53"/>
  <c r="BG16" i="53"/>
  <c r="N26" i="95" s="1"/>
  <c r="BT16" i="53"/>
  <c r="BO13" i="53"/>
  <c r="BT13" i="53"/>
  <c r="BS13" i="53"/>
  <c r="BG13" i="53"/>
  <c r="BO11" i="53"/>
  <c r="BG11" i="53"/>
  <c r="BS11" i="53"/>
  <c r="BO10" i="53"/>
  <c r="BE10" i="53"/>
  <c r="BF10" i="53"/>
  <c r="BS7" i="53"/>
  <c r="BG7" i="53"/>
  <c r="BT7" i="53"/>
  <c r="AE19" i="53"/>
  <c r="M88" i="95"/>
  <c r="N5" i="95"/>
  <c r="O5" i="95" s="1"/>
  <c r="N29" i="95"/>
  <c r="N37" i="95"/>
  <c r="N37" i="100" s="1"/>
  <c r="N30" i="95"/>
  <c r="O30" i="95" s="1"/>
  <c r="M29" i="95"/>
  <c r="M29" i="100" s="1"/>
  <c r="M29" i="101" s="1"/>
  <c r="M49" i="95"/>
  <c r="N18" i="95"/>
  <c r="M89" i="95"/>
  <c r="M55" i="95"/>
  <c r="M60" i="95"/>
  <c r="M17" i="95"/>
  <c r="M17" i="100" s="1"/>
  <c r="N32" i="95"/>
  <c r="M64" i="95"/>
  <c r="M56" i="95"/>
  <c r="M75" i="95"/>
  <c r="M54" i="95"/>
  <c r="N34" i="95"/>
  <c r="O34" i="95"/>
  <c r="M19" i="95"/>
  <c r="M19" i="100" s="1"/>
  <c r="M46" i="95"/>
  <c r="M81" i="95"/>
  <c r="M66" i="95"/>
  <c r="M104" i="95"/>
  <c r="M85" i="95"/>
  <c r="M101" i="95"/>
  <c r="N10" i="95"/>
  <c r="M22" i="95"/>
  <c r="M22" i="100" s="1"/>
  <c r="M6" i="95"/>
  <c r="M6" i="100" s="1"/>
  <c r="M21" i="95"/>
  <c r="M21" i="100" s="1"/>
  <c r="M15" i="95"/>
  <c r="M15" i="100" s="1"/>
  <c r="M59" i="95"/>
  <c r="M73" i="95"/>
  <c r="M11" i="95"/>
  <c r="M11" i="100" s="1"/>
  <c r="M11" i="101" s="1"/>
  <c r="M24" i="95"/>
  <c r="M24" i="100" s="1"/>
  <c r="M62" i="95"/>
  <c r="M57" i="95"/>
  <c r="M76" i="95"/>
  <c r="N13" i="95"/>
  <c r="N35" i="95"/>
  <c r="M3" i="95"/>
  <c r="M3" i="100" s="1"/>
  <c r="N25" i="95"/>
  <c r="O25" i="95" s="1"/>
  <c r="M84" i="95"/>
  <c r="M44" i="95"/>
  <c r="N7" i="95"/>
  <c r="N20" i="95"/>
  <c r="M38" i="95"/>
  <c r="M38" i="100" s="1"/>
  <c r="M77" i="95"/>
  <c r="M103" i="95"/>
  <c r="M99" i="95"/>
  <c r="M51" i="95"/>
  <c r="M58" i="95"/>
  <c r="N33" i="95"/>
  <c r="N6" i="95"/>
  <c r="O6" i="95" s="1"/>
  <c r="N12" i="95"/>
  <c r="M5" i="95"/>
  <c r="M5" i="100" s="1"/>
  <c r="M78" i="95"/>
  <c r="N9" i="95"/>
  <c r="N9" i="100" s="1"/>
  <c r="M53" i="95"/>
  <c r="M28" i="95"/>
  <c r="M28" i="100" s="1"/>
  <c r="M4" i="95"/>
  <c r="M4" i="100" s="1"/>
  <c r="M83" i="95"/>
  <c r="M16" i="95"/>
  <c r="M16" i="100"/>
  <c r="M86" i="95"/>
  <c r="N31" i="95"/>
  <c r="M31" i="95"/>
  <c r="M31" i="100"/>
  <c r="M39" i="95"/>
  <c r="M39" i="100" s="1"/>
  <c r="N19" i="95"/>
  <c r="M91" i="95"/>
  <c r="M13" i="95"/>
  <c r="M13" i="100" s="1"/>
  <c r="M25" i="95"/>
  <c r="M25" i="100" s="1"/>
  <c r="M93" i="95"/>
  <c r="M70" i="95"/>
  <c r="N22" i="95"/>
  <c r="N22" i="100" s="1"/>
  <c r="M7" i="95"/>
  <c r="M7" i="100" s="1"/>
  <c r="N28" i="95"/>
  <c r="N4" i="95"/>
  <c r="N11" i="95"/>
  <c r="N11" i="100" s="1"/>
  <c r="M98" i="95"/>
  <c r="M92" i="95"/>
  <c r="M97" i="95"/>
  <c r="M2" i="95"/>
  <c r="M2" i="100" s="1"/>
  <c r="N40" i="95"/>
  <c r="N44" i="95"/>
  <c r="M90" i="95"/>
  <c r="M74" i="95"/>
  <c r="N45" i="95"/>
  <c r="N45" i="100" s="1"/>
  <c r="M45" i="95"/>
  <c r="M72" i="95"/>
  <c r="M52" i="95"/>
  <c r="M40" i="95"/>
  <c r="M40" i="100" s="1"/>
  <c r="N8" i="95"/>
  <c r="N36" i="95"/>
  <c r="M23" i="95"/>
  <c r="M23" i="100" s="1"/>
  <c r="M50" i="95"/>
  <c r="M48" i="95"/>
  <c r="M69" i="95"/>
  <c r="M65" i="95"/>
  <c r="M71" i="95"/>
  <c r="N42" i="95"/>
  <c r="M12" i="95"/>
  <c r="M12" i="100" s="1"/>
  <c r="O12" i="100" s="1"/>
  <c r="M8" i="95"/>
  <c r="M8" i="100"/>
  <c r="N39" i="95"/>
  <c r="N24" i="95"/>
  <c r="N24" i="100"/>
  <c r="M26" i="95"/>
  <c r="M26" i="100" s="1"/>
  <c r="X37" i="53"/>
  <c r="M47" i="95"/>
  <c r="M61" i="95"/>
  <c r="M63" i="95"/>
  <c r="M30" i="95"/>
  <c r="M30" i="100" s="1"/>
  <c r="M10" i="95"/>
  <c r="M10" i="100" s="1"/>
  <c r="M10" i="101" s="1"/>
  <c r="M10" i="102" s="1"/>
  <c r="M27" i="95"/>
  <c r="M27" i="100" s="1"/>
  <c r="N41" i="95"/>
  <c r="M43" i="95"/>
  <c r="M43" i="100" s="1"/>
  <c r="M67" i="95"/>
  <c r="M102" i="95"/>
  <c r="N38" i="95"/>
  <c r="N15" i="95"/>
  <c r="M94" i="95"/>
  <c r="M100" i="95"/>
  <c r="M82" i="95"/>
  <c r="N27" i="95"/>
  <c r="O27" i="95" s="1"/>
  <c r="M9" i="95"/>
  <c r="M9" i="100" s="1"/>
  <c r="M32" i="95"/>
  <c r="M37" i="95"/>
  <c r="M42" i="95"/>
  <c r="M42" i="100"/>
  <c r="N43" i="95"/>
  <c r="N43" i="100" s="1"/>
  <c r="M96" i="95"/>
  <c r="M80" i="95"/>
  <c r="M95" i="95"/>
  <c r="M18" i="95"/>
  <c r="M18" i="100" s="1"/>
  <c r="N2" i="95"/>
  <c r="O2" i="95" s="1"/>
  <c r="N169" i="53"/>
  <c r="O38" i="95"/>
  <c r="BB140" i="53"/>
  <c r="N139" i="53"/>
  <c r="O16" i="95"/>
  <c r="BF110" i="53"/>
  <c r="M87" i="95"/>
  <c r="O45" i="95"/>
  <c r="N109" i="53"/>
  <c r="BB110" i="53"/>
  <c r="O10" i="95"/>
  <c r="O4" i="95"/>
  <c r="BB80" i="53"/>
  <c r="N79" i="53"/>
  <c r="BB50" i="53"/>
  <c r="N14" i="100"/>
  <c r="N14" i="101" s="1"/>
  <c r="N14" i="102" s="1"/>
  <c r="N16" i="100"/>
  <c r="M45" i="100"/>
  <c r="M44" i="100"/>
  <c r="N6" i="100"/>
  <c r="O6" i="100" s="1"/>
  <c r="N30" i="100"/>
  <c r="O30" i="100"/>
  <c r="N34" i="100"/>
  <c r="O29" i="95"/>
  <c r="O3" i="95"/>
  <c r="N19" i="53"/>
  <c r="BB20" i="53"/>
  <c r="N25" i="100"/>
  <c r="O25" i="100" s="1"/>
  <c r="N18" i="100"/>
  <c r="O18" i="95"/>
  <c r="N32" i="100"/>
  <c r="N10" i="100"/>
  <c r="O9" i="95"/>
  <c r="O22" i="95"/>
  <c r="N4" i="100"/>
  <c r="O4" i="100" s="1"/>
  <c r="O19" i="95"/>
  <c r="N20" i="100"/>
  <c r="N13" i="100"/>
  <c r="O13" i="95"/>
  <c r="O28" i="95"/>
  <c r="N28" i="100"/>
  <c r="N12" i="100"/>
  <c r="O12" i="95"/>
  <c r="O11" i="95"/>
  <c r="N35" i="100"/>
  <c r="N38" i="100"/>
  <c r="O38" i="100" s="1"/>
  <c r="O31" i="95"/>
  <c r="N31" i="100"/>
  <c r="O31" i="100" s="1"/>
  <c r="O26" i="95"/>
  <c r="N26" i="100"/>
  <c r="N26" i="101" s="1"/>
  <c r="N41" i="100"/>
  <c r="O43" i="95"/>
  <c r="O39" i="95"/>
  <c r="N39" i="100"/>
  <c r="O44" i="95"/>
  <c r="N44" i="100"/>
  <c r="O8" i="95"/>
  <c r="O42" i="95"/>
  <c r="N42" i="100"/>
  <c r="O42" i="100" s="1"/>
  <c r="O15" i="95"/>
  <c r="N15" i="100"/>
  <c r="O15" i="100" s="1"/>
  <c r="O24" i="95"/>
  <c r="O36" i="95"/>
  <c r="N36" i="100"/>
  <c r="O24" i="100"/>
  <c r="O45" i="100"/>
  <c r="O16" i="100"/>
  <c r="O18" i="100"/>
  <c r="O10" i="100"/>
  <c r="O11" i="100"/>
  <c r="O13" i="100"/>
  <c r="O28" i="100"/>
  <c r="O36" i="100"/>
  <c r="O39" i="100"/>
  <c r="O43" i="100"/>
  <c r="BG163" i="55"/>
  <c r="N40" i="96"/>
  <c r="BS163" i="55"/>
  <c r="BO163" i="55"/>
  <c r="N169" i="55"/>
  <c r="AE139" i="55"/>
  <c r="BB140" i="55" s="1"/>
  <c r="BT130" i="55"/>
  <c r="BO127" i="55"/>
  <c r="BS127" i="55"/>
  <c r="BF127" i="55"/>
  <c r="BF140" i="55"/>
  <c r="BT127" i="55"/>
  <c r="BG127" i="55"/>
  <c r="N34" i="96" s="1"/>
  <c r="M24" i="96"/>
  <c r="M24" i="101" s="1"/>
  <c r="BS106" i="55"/>
  <c r="BG106" i="55"/>
  <c r="N8" i="96" s="1"/>
  <c r="BF106" i="55"/>
  <c r="BF110" i="55" s="1"/>
  <c r="BO106" i="55"/>
  <c r="N97" i="55"/>
  <c r="BB110" i="55"/>
  <c r="BF80" i="55"/>
  <c r="N79" i="55"/>
  <c r="N46" i="55"/>
  <c r="BF50" i="55"/>
  <c r="BO37" i="55"/>
  <c r="BG37" i="55"/>
  <c r="N18" i="96" s="1"/>
  <c r="AE49" i="55"/>
  <c r="BB50" i="55" s="1"/>
  <c r="N79" i="96"/>
  <c r="O79" i="96" s="1"/>
  <c r="M39" i="96"/>
  <c r="M39" i="101" s="1"/>
  <c r="M39" i="102" s="1"/>
  <c r="M57" i="96"/>
  <c r="N93" i="96"/>
  <c r="O93" i="96"/>
  <c r="N76" i="96"/>
  <c r="O76" i="96" s="1"/>
  <c r="M84" i="96"/>
  <c r="M70" i="96"/>
  <c r="N70" i="96"/>
  <c r="O70" i="96" s="1"/>
  <c r="M85" i="96"/>
  <c r="N26" i="96"/>
  <c r="O26" i="96" s="1"/>
  <c r="M20" i="96"/>
  <c r="M25" i="96"/>
  <c r="N11" i="96"/>
  <c r="N11" i="101" s="1"/>
  <c r="N58" i="96"/>
  <c r="O58" i="96" s="1"/>
  <c r="N104" i="96"/>
  <c r="O104" i="96" s="1"/>
  <c r="N65" i="96"/>
  <c r="O65" i="96"/>
  <c r="M52" i="96"/>
  <c r="M99" i="96"/>
  <c r="M16" i="96"/>
  <c r="M16" i="101" s="1"/>
  <c r="N97" i="96"/>
  <c r="O97" i="96" s="1"/>
  <c r="N92" i="96"/>
  <c r="O92" i="96"/>
  <c r="N37" i="96"/>
  <c r="O37" i="96" s="1"/>
  <c r="M4" i="96"/>
  <c r="M4" i="101" s="1"/>
  <c r="M4" i="102" s="1"/>
  <c r="N28" i="96"/>
  <c r="N23" i="96"/>
  <c r="N75" i="96"/>
  <c r="O75" i="96" s="1"/>
  <c r="N44" i="96"/>
  <c r="O44" i="96" s="1"/>
  <c r="N45" i="96"/>
  <c r="O45" i="96" s="1"/>
  <c r="N71" i="96"/>
  <c r="O71" i="96" s="1"/>
  <c r="N57" i="96"/>
  <c r="O57" i="96" s="1"/>
  <c r="M92" i="96"/>
  <c r="M72" i="96"/>
  <c r="N73" i="96"/>
  <c r="O73" i="96" s="1"/>
  <c r="N67" i="96"/>
  <c r="O67" i="96" s="1"/>
  <c r="N4" i="96"/>
  <c r="O4" i="96" s="1"/>
  <c r="M28" i="96"/>
  <c r="M28" i="101" s="1"/>
  <c r="M7" i="96"/>
  <c r="M7" i="101" s="1"/>
  <c r="M7" i="102" s="1"/>
  <c r="N32" i="96"/>
  <c r="N32" i="101"/>
  <c r="N32" i="102" s="1"/>
  <c r="M75" i="96"/>
  <c r="N84" i="96"/>
  <c r="O84" i="96" s="1"/>
  <c r="M103" i="96"/>
  <c r="N87" i="96"/>
  <c r="O87" i="96"/>
  <c r="N12" i="96"/>
  <c r="N7" i="96"/>
  <c r="M8" i="96"/>
  <c r="M8" i="101" s="1"/>
  <c r="M8" i="102" s="1"/>
  <c r="N59" i="96"/>
  <c r="O59" i="96" s="1"/>
  <c r="N80" i="96"/>
  <c r="O80" i="96" s="1"/>
  <c r="N68" i="96"/>
  <c r="O68" i="96"/>
  <c r="M64" i="96"/>
  <c r="M54" i="96"/>
  <c r="M5" i="96"/>
  <c r="M5" i="101" s="1"/>
  <c r="N17" i="96"/>
  <c r="N38" i="96"/>
  <c r="M59" i="96"/>
  <c r="N15" i="96"/>
  <c r="O15" i="96" s="1"/>
  <c r="N77" i="96"/>
  <c r="O77" i="96" s="1"/>
  <c r="M63" i="96"/>
  <c r="N61" i="96"/>
  <c r="O61" i="96" s="1"/>
  <c r="N3" i="96"/>
  <c r="M38" i="96"/>
  <c r="M38" i="101" s="1"/>
  <c r="N9" i="96"/>
  <c r="M43" i="96"/>
  <c r="M15" i="96"/>
  <c r="M15" i="101" s="1"/>
  <c r="M15" i="102" s="1"/>
  <c r="N56" i="96"/>
  <c r="O56" i="96" s="1"/>
  <c r="M69" i="96"/>
  <c r="M89" i="96"/>
  <c r="N2" i="96"/>
  <c r="N91" i="96"/>
  <c r="O91" i="96" s="1"/>
  <c r="N22" i="96"/>
  <c r="O22" i="96" s="1"/>
  <c r="N21" i="96"/>
  <c r="N31" i="96"/>
  <c r="N31" i="101" s="1"/>
  <c r="N14" i="96"/>
  <c r="M9" i="96"/>
  <c r="M9" i="101" s="1"/>
  <c r="M9" i="102" s="1"/>
  <c r="N43" i="96"/>
  <c r="M45" i="96"/>
  <c r="N50" i="96"/>
  <c r="O50" i="96" s="1"/>
  <c r="M94" i="96"/>
  <c r="M53" i="96"/>
  <c r="N103" i="96"/>
  <c r="O103" i="96" s="1"/>
  <c r="N99" i="96"/>
  <c r="O99" i="96" s="1"/>
  <c r="M6" i="96"/>
  <c r="M31" i="96"/>
  <c r="M31" i="101" s="1"/>
  <c r="M31" i="102" s="1"/>
  <c r="N19" i="96"/>
  <c r="M87" i="96"/>
  <c r="N55" i="96"/>
  <c r="O55" i="96" s="1"/>
  <c r="N89" i="96"/>
  <c r="O89" i="96" s="1"/>
  <c r="M104" i="96"/>
  <c r="M78" i="96"/>
  <c r="N29" i="96"/>
  <c r="N64" i="96"/>
  <c r="O64" i="96" s="1"/>
  <c r="N6" i="96"/>
  <c r="O6" i="96" s="1"/>
  <c r="M33" i="96"/>
  <c r="O33" i="96" s="1"/>
  <c r="N16" i="101"/>
  <c r="M19" i="96"/>
  <c r="M19" i="101" s="1"/>
  <c r="M19" i="102" s="1"/>
  <c r="N83" i="96"/>
  <c r="O83" i="96"/>
  <c r="N72" i="96"/>
  <c r="O72" i="96" s="1"/>
  <c r="M86" i="96"/>
  <c r="M80" i="96"/>
  <c r="M30" i="96"/>
  <c r="M30" i="101" s="1"/>
  <c r="M30" i="102" s="1"/>
  <c r="N24" i="96"/>
  <c r="M51" i="96"/>
  <c r="M73" i="96"/>
  <c r="M42" i="96"/>
  <c r="M42" i="101" s="1"/>
  <c r="M42" i="102" s="1"/>
  <c r="M35" i="96"/>
  <c r="M36" i="96"/>
  <c r="M36" i="101" s="1"/>
  <c r="M36" i="102" s="1"/>
  <c r="N98" i="96"/>
  <c r="O98" i="96" s="1"/>
  <c r="N90" i="96"/>
  <c r="O90" i="96" s="1"/>
  <c r="N52" i="96"/>
  <c r="O52" i="96"/>
  <c r="M49" i="96"/>
  <c r="M46" i="96"/>
  <c r="N96" i="96"/>
  <c r="O96" i="96" s="1"/>
  <c r="M101" i="96"/>
  <c r="N33" i="96"/>
  <c r="M44" i="96"/>
  <c r="M44" i="101" s="1"/>
  <c r="M44" i="102" s="1"/>
  <c r="N5" i="96"/>
  <c r="M3" i="96"/>
  <c r="M3" i="101" s="1"/>
  <c r="N49" i="96"/>
  <c r="O49" i="96" s="1"/>
  <c r="N35" i="96"/>
  <c r="N35" i="101" s="1"/>
  <c r="N36" i="96"/>
  <c r="O36" i="96" s="1"/>
  <c r="M98" i="96"/>
  <c r="M27" i="96"/>
  <c r="N69" i="96"/>
  <c r="O69" i="96" s="1"/>
  <c r="N81" i="96"/>
  <c r="O81" i="96" s="1"/>
  <c r="M48" i="96"/>
  <c r="M61" i="96"/>
  <c r="M76" i="96"/>
  <c r="M96" i="96"/>
  <c r="M77" i="96"/>
  <c r="N82" i="96"/>
  <c r="O82" i="96" s="1"/>
  <c r="N25" i="96"/>
  <c r="N95" i="96"/>
  <c r="O95" i="96" s="1"/>
  <c r="N74" i="96"/>
  <c r="O74" i="96" s="1"/>
  <c r="N27" i="96"/>
  <c r="M81" i="96"/>
  <c r="N101" i="96"/>
  <c r="O101" i="96" s="1"/>
  <c r="N60" i="96"/>
  <c r="O60" i="96" s="1"/>
  <c r="M97" i="96"/>
  <c r="M93" i="96"/>
  <c r="M68" i="96"/>
  <c r="M21" i="96"/>
  <c r="M21" i="101" s="1"/>
  <c r="M17" i="96"/>
  <c r="M17" i="101" s="1"/>
  <c r="M95" i="96"/>
  <c r="M74" i="96"/>
  <c r="N39" i="96"/>
  <c r="N54" i="96"/>
  <c r="O54" i="96"/>
  <c r="N53" i="96"/>
  <c r="O53" i="96" s="1"/>
  <c r="N47" i="96"/>
  <c r="O47" i="96" s="1"/>
  <c r="M55" i="96"/>
  <c r="M71" i="96"/>
  <c r="M100" i="96"/>
  <c r="N102" i="96"/>
  <c r="O102" i="96" s="1"/>
  <c r="N20" i="96"/>
  <c r="M34" i="96"/>
  <c r="M34" i="101" s="1"/>
  <c r="M34" i="102" s="1"/>
  <c r="M26" i="96"/>
  <c r="M62" i="96"/>
  <c r="M40" i="96"/>
  <c r="M40" i="101" s="1"/>
  <c r="M40" i="102" s="1"/>
  <c r="M50" i="96"/>
  <c r="M41" i="96"/>
  <c r="N51" i="96"/>
  <c r="O51" i="96" s="1"/>
  <c r="M90" i="96"/>
  <c r="M65" i="96"/>
  <c r="N78" i="96"/>
  <c r="O78" i="96" s="1"/>
  <c r="N30" i="96"/>
  <c r="O30" i="96" s="1"/>
  <c r="N42" i="96"/>
  <c r="M91" i="96"/>
  <c r="N66" i="96"/>
  <c r="O66" i="96" s="1"/>
  <c r="N10" i="96"/>
  <c r="O10" i="96" s="1"/>
  <c r="M67" i="96"/>
  <c r="M22" i="96"/>
  <c r="M22" i="101"/>
  <c r="M22" i="102" s="1"/>
  <c r="M82" i="96"/>
  <c r="M12" i="96"/>
  <c r="N46" i="96"/>
  <c r="O46" i="96" s="1"/>
  <c r="M23" i="96"/>
  <c r="M58" i="96"/>
  <c r="M83" i="96"/>
  <c r="N13" i="96"/>
  <c r="M47" i="96"/>
  <c r="M2" i="96"/>
  <c r="O2" i="96" s="1"/>
  <c r="M13" i="96"/>
  <c r="M37" i="96"/>
  <c r="BT16" i="55"/>
  <c r="BP101" i="55"/>
  <c r="BE13" i="55"/>
  <c r="BT13" i="55" s="1"/>
  <c r="BP161" i="55"/>
  <c r="BP97" i="55"/>
  <c r="BP134" i="55"/>
  <c r="BP41" i="55"/>
  <c r="BP76" i="55"/>
  <c r="BP137" i="55"/>
  <c r="BP135" i="55"/>
  <c r="BP48" i="55"/>
  <c r="BP71" i="55"/>
  <c r="BP160" i="55"/>
  <c r="BP13" i="55"/>
  <c r="BP131" i="55"/>
  <c r="BP68" i="55"/>
  <c r="BP8" i="55"/>
  <c r="BP16" i="55"/>
  <c r="BP7" i="55"/>
  <c r="BP128" i="55"/>
  <c r="BP168" i="55"/>
  <c r="BP162" i="55"/>
  <c r="BP70" i="55"/>
  <c r="BP165" i="55"/>
  <c r="BP77" i="55"/>
  <c r="BP138" i="55"/>
  <c r="BP17" i="55"/>
  <c r="BP10" i="55"/>
  <c r="BP107" i="55"/>
  <c r="BP159" i="55"/>
  <c r="BP158" i="55"/>
  <c r="BP167" i="55"/>
  <c r="BP108" i="55"/>
  <c r="BP72" i="55"/>
  <c r="BP18" i="55"/>
  <c r="BP45" i="55"/>
  <c r="BP46" i="55"/>
  <c r="BP104" i="55"/>
  <c r="BP75" i="55"/>
  <c r="BP37" i="55"/>
  <c r="BP133" i="55"/>
  <c r="BP136" i="55"/>
  <c r="BP69" i="55"/>
  <c r="BP39" i="55"/>
  <c r="BP9" i="55"/>
  <c r="BP11" i="55"/>
  <c r="BP43" i="55"/>
  <c r="BP12" i="55"/>
  <c r="BF20" i="55"/>
  <c r="N41" i="101"/>
  <c r="O38" i="96"/>
  <c r="O24" i="96"/>
  <c r="N139" i="55"/>
  <c r="O9" i="96"/>
  <c r="O16" i="96"/>
  <c r="N6" i="101"/>
  <c r="O3" i="96"/>
  <c r="N37" i="101"/>
  <c r="O32" i="96"/>
  <c r="N38" i="101"/>
  <c r="O21" i="96"/>
  <c r="O11" i="96"/>
  <c r="O19" i="96"/>
  <c r="O20" i="96"/>
  <c r="N3" i="101"/>
  <c r="M45" i="101"/>
  <c r="N45" i="101"/>
  <c r="O45" i="101" s="1"/>
  <c r="N44" i="101"/>
  <c r="N30" i="101"/>
  <c r="N24" i="101"/>
  <c r="O24" i="101" s="1"/>
  <c r="N15" i="101"/>
  <c r="O15" i="101" s="1"/>
  <c r="BP100" i="55"/>
  <c r="BP164" i="55"/>
  <c r="BP102" i="55"/>
  <c r="BP105" i="55"/>
  <c r="BP132" i="55"/>
  <c r="BP73" i="55"/>
  <c r="BP106" i="55"/>
  <c r="BP38" i="55"/>
  <c r="BP67" i="55"/>
  <c r="BP98" i="55"/>
  <c r="BP157" i="55"/>
  <c r="BP78" i="55"/>
  <c r="BP130" i="55"/>
  <c r="BP15" i="55"/>
  <c r="BP14" i="55"/>
  <c r="BP74" i="55"/>
  <c r="BP99" i="55"/>
  <c r="BP163" i="55"/>
  <c r="BP47" i="55"/>
  <c r="BP44" i="55"/>
  <c r="BP40" i="55"/>
  <c r="BP103" i="55"/>
  <c r="BP42" i="55"/>
  <c r="BP127" i="55"/>
  <c r="BP129" i="55"/>
  <c r="N49" i="55"/>
  <c r="O35" i="96"/>
  <c r="N4" i="101"/>
  <c r="N43" i="101"/>
  <c r="N43" i="102" s="1"/>
  <c r="O29" i="96"/>
  <c r="N36" i="101"/>
  <c r="N20" i="101"/>
  <c r="N20" i="102" s="1"/>
  <c r="O7" i="96"/>
  <c r="O23" i="96"/>
  <c r="O5" i="96"/>
  <c r="O17" i="96"/>
  <c r="O28" i="96"/>
  <c r="N28" i="101"/>
  <c r="O28" i="101" s="1"/>
  <c r="O25" i="96"/>
  <c r="N25" i="101"/>
  <c r="O34" i="96"/>
  <c r="O31" i="96"/>
  <c r="N10" i="101"/>
  <c r="O10" i="101" s="1"/>
  <c r="O42" i="96"/>
  <c r="N42" i="101"/>
  <c r="O42" i="101" s="1"/>
  <c r="O13" i="96"/>
  <c r="N13" i="101"/>
  <c r="O13" i="101" s="1"/>
  <c r="O11" i="101"/>
  <c r="O3" i="101"/>
  <c r="O30" i="101"/>
  <c r="O44" i="101"/>
  <c r="O36" i="101"/>
  <c r="O4" i="101"/>
  <c r="BT166" i="57"/>
  <c r="O38" i="97"/>
  <c r="BT163" i="57"/>
  <c r="O40" i="97"/>
  <c r="O42" i="97"/>
  <c r="BF170" i="57"/>
  <c r="BB170" i="57"/>
  <c r="O39" i="97"/>
  <c r="BT136" i="57"/>
  <c r="BE133" i="57"/>
  <c r="BT133" i="57"/>
  <c r="O36" i="97"/>
  <c r="AE139" i="57"/>
  <c r="BB140" i="57" s="1"/>
  <c r="J139" i="57"/>
  <c r="O8" i="97"/>
  <c r="O23" i="97"/>
  <c r="O9" i="97"/>
  <c r="BE100" i="57"/>
  <c r="BT100" i="57" s="1"/>
  <c r="AE109" i="57"/>
  <c r="M17" i="97"/>
  <c r="B103" i="57"/>
  <c r="M2" i="97"/>
  <c r="M21" i="97"/>
  <c r="N5" i="97"/>
  <c r="M104" i="97"/>
  <c r="M32" i="97"/>
  <c r="Z106" i="57"/>
  <c r="I106" i="57" s="1"/>
  <c r="O4" i="97"/>
  <c r="BF80" i="57"/>
  <c r="J56" i="57"/>
  <c r="BB80" i="57"/>
  <c r="V76" i="57"/>
  <c r="N28" i="97"/>
  <c r="O28" i="97" s="1"/>
  <c r="M11" i="97"/>
  <c r="M30" i="97"/>
  <c r="N11" i="97"/>
  <c r="O11" i="97" s="1"/>
  <c r="N22" i="97"/>
  <c r="O22" i="97" s="1"/>
  <c r="M12" i="97"/>
  <c r="N33" i="97"/>
  <c r="M3" i="97"/>
  <c r="M3" i="102"/>
  <c r="N13" i="97"/>
  <c r="N13" i="102" s="1"/>
  <c r="O13" i="102" s="1"/>
  <c r="N24" i="97"/>
  <c r="N24" i="102" s="1"/>
  <c r="M24" i="97"/>
  <c r="M24" i="102" s="1"/>
  <c r="M14" i="97"/>
  <c r="M5" i="97"/>
  <c r="M5" i="102" s="1"/>
  <c r="M25" i="97"/>
  <c r="M6" i="97"/>
  <c r="N16" i="97"/>
  <c r="O16" i="97" s="1"/>
  <c r="N26" i="97"/>
  <c r="N26" i="102" s="1"/>
  <c r="N25" i="102"/>
  <c r="N10" i="102"/>
  <c r="O20" i="97"/>
  <c r="AE49" i="57"/>
  <c r="N49" i="57" s="1"/>
  <c r="F49" i="57"/>
  <c r="N3" i="102"/>
  <c r="O18" i="97"/>
  <c r="N45" i="97"/>
  <c r="M61" i="97"/>
  <c r="M88" i="97"/>
  <c r="M76" i="97"/>
  <c r="M48" i="97"/>
  <c r="O43" i="97"/>
  <c r="O19" i="97"/>
  <c r="M29" i="97"/>
  <c r="N38" i="102"/>
  <c r="N30" i="102"/>
  <c r="O31" i="97"/>
  <c r="AD166" i="57"/>
  <c r="M166" i="57" s="1"/>
  <c r="N41" i="102"/>
  <c r="N44" i="102"/>
  <c r="N15" i="102"/>
  <c r="N4" i="102"/>
  <c r="O4" i="102" s="1"/>
  <c r="O35" i="97"/>
  <c r="N35" i="102"/>
  <c r="BE8" i="57"/>
  <c r="N31" i="102"/>
  <c r="AE19" i="57"/>
  <c r="N19" i="57" s="1"/>
  <c r="D19" i="57"/>
  <c r="O27" i="97"/>
  <c r="N37" i="102"/>
  <c r="N36" i="102"/>
  <c r="O36" i="102"/>
  <c r="N139" i="57"/>
  <c r="O32" i="97"/>
  <c r="O21" i="97"/>
  <c r="O17" i="97"/>
  <c r="BB110" i="57"/>
  <c r="N109" i="57"/>
  <c r="O2" i="97"/>
  <c r="O3" i="97"/>
  <c r="N28" i="102"/>
  <c r="O10" i="102"/>
  <c r="N11" i="102"/>
  <c r="O33" i="97"/>
  <c r="O13" i="97"/>
  <c r="BB50" i="57"/>
  <c r="N45" i="102"/>
  <c r="O45" i="102" s="1"/>
  <c r="O45" i="97"/>
  <c r="O29" i="97"/>
  <c r="O30" i="102"/>
  <c r="O44" i="102"/>
  <c r="O15" i="102"/>
  <c r="O11" i="102"/>
  <c r="BT16" i="58" l="1"/>
  <c r="N10" i="58"/>
  <c r="N73" i="58"/>
  <c r="N67" i="58"/>
  <c r="BS43" i="58"/>
  <c r="AE49" i="58"/>
  <c r="BB50" i="58" s="1"/>
  <c r="BO43" i="58"/>
  <c r="BG43" i="58"/>
  <c r="BT43" i="58"/>
  <c r="BT157" i="58"/>
  <c r="BO157" i="58"/>
  <c r="BS157" i="58"/>
  <c r="BF157" i="58"/>
  <c r="BS133" i="58"/>
  <c r="BG130" i="58"/>
  <c r="BS130" i="58"/>
  <c r="BF130" i="58"/>
  <c r="BF16" i="58"/>
  <c r="BG16" i="58"/>
  <c r="BO16" i="58"/>
  <c r="BF7" i="58"/>
  <c r="N166" i="58"/>
  <c r="BT76" i="58"/>
  <c r="AE79" i="58"/>
  <c r="BB80" i="58" s="1"/>
  <c r="BG73" i="58"/>
  <c r="BF73" i="58"/>
  <c r="J49" i="58"/>
  <c r="N37" i="58"/>
  <c r="N14" i="98"/>
  <c r="N14" i="103" s="1"/>
  <c r="N14" i="104" s="1"/>
  <c r="BG76" i="58"/>
  <c r="N45" i="98" s="1"/>
  <c r="BO76" i="58"/>
  <c r="BO103" i="58"/>
  <c r="BG103" i="58"/>
  <c r="N9" i="98" s="1"/>
  <c r="BF103" i="58"/>
  <c r="BF110" i="58" s="1"/>
  <c r="BT103" i="58"/>
  <c r="N97" i="58"/>
  <c r="BT160" i="58"/>
  <c r="BS160" i="58"/>
  <c r="M42" i="98" s="1"/>
  <c r="M42" i="103" s="1"/>
  <c r="M42" i="104" s="1"/>
  <c r="BF160" i="58"/>
  <c r="BF133" i="58"/>
  <c r="N133" i="58"/>
  <c r="BG136" i="58"/>
  <c r="N22" i="98" s="1"/>
  <c r="BT136" i="58"/>
  <c r="BF136" i="58"/>
  <c r="BF127" i="58"/>
  <c r="N127" i="58"/>
  <c r="BG7" i="58"/>
  <c r="N31" i="98" s="1"/>
  <c r="N31" i="103" s="1"/>
  <c r="BS7" i="58"/>
  <c r="BT7" i="58"/>
  <c r="AE169" i="58"/>
  <c r="N169" i="58" s="1"/>
  <c r="BT163" i="58"/>
  <c r="BG163" i="58"/>
  <c r="BO163" i="58"/>
  <c r="BE157" i="58"/>
  <c r="AE139" i="58"/>
  <c r="BG127" i="58"/>
  <c r="N23" i="98" s="1"/>
  <c r="BO127" i="58"/>
  <c r="BO106" i="58"/>
  <c r="BS106" i="58"/>
  <c r="M8" i="98" s="1"/>
  <c r="M8" i="103" s="1"/>
  <c r="M8" i="104" s="1"/>
  <c r="H87" i="58"/>
  <c r="N78" i="98"/>
  <c r="O78" i="98" s="1"/>
  <c r="N15" i="98"/>
  <c r="O15" i="98" s="1"/>
  <c r="N19" i="98"/>
  <c r="N4" i="98"/>
  <c r="N4" i="103" s="1"/>
  <c r="M37" i="98"/>
  <c r="BT40" i="58"/>
  <c r="N16" i="58"/>
  <c r="AE19" i="58"/>
  <c r="BB20" i="58" s="1"/>
  <c r="BF20" i="58"/>
  <c r="N37" i="98"/>
  <c r="O37" i="98" s="1"/>
  <c r="M26" i="98"/>
  <c r="M30" i="98"/>
  <c r="M30" i="103" s="1"/>
  <c r="M30" i="104" s="1"/>
  <c r="N54" i="98"/>
  <c r="O54" i="98" s="1"/>
  <c r="M33" i="98"/>
  <c r="N48" i="98"/>
  <c r="O48" i="98" s="1"/>
  <c r="M39" i="98"/>
  <c r="M39" i="103" s="1"/>
  <c r="M39" i="104" s="1"/>
  <c r="N41" i="98"/>
  <c r="N77" i="98"/>
  <c r="O77" i="98" s="1"/>
  <c r="N82" i="98"/>
  <c r="O82" i="98" s="1"/>
  <c r="M34" i="98"/>
  <c r="M34" i="103" s="1"/>
  <c r="M34" i="104" s="1"/>
  <c r="M2" i="98"/>
  <c r="M17" i="98"/>
  <c r="M45" i="98"/>
  <c r="M13" i="98"/>
  <c r="N84" i="98"/>
  <c r="O84" i="98" s="1"/>
  <c r="M22" i="98"/>
  <c r="M22" i="103" s="1"/>
  <c r="M22" i="104" s="1"/>
  <c r="N16" i="98"/>
  <c r="N28" i="98"/>
  <c r="O28" i="98" s="1"/>
  <c r="N97" i="98"/>
  <c r="O97" i="98" s="1"/>
  <c r="M9" i="98"/>
  <c r="M9" i="103" s="1"/>
  <c r="M9" i="104" s="1"/>
  <c r="M20" i="98"/>
  <c r="M31" i="98"/>
  <c r="M31" i="103" s="1"/>
  <c r="M31" i="104" s="1"/>
  <c r="N66" i="98"/>
  <c r="O66" i="98" s="1"/>
  <c r="N75" i="98"/>
  <c r="O75" i="98" s="1"/>
  <c r="N55" i="98"/>
  <c r="O55" i="98" s="1"/>
  <c r="N17" i="98"/>
  <c r="M41" i="98"/>
  <c r="N30" i="98"/>
  <c r="O30" i="98" s="1"/>
  <c r="M28" i="98"/>
  <c r="M28" i="103" s="1"/>
  <c r="M28" i="104" s="1"/>
  <c r="N61" i="98"/>
  <c r="O61" i="98" s="1"/>
  <c r="N63" i="98"/>
  <c r="O63" i="98" s="1"/>
  <c r="N62" i="98"/>
  <c r="O62" i="98" s="1"/>
  <c r="N88" i="98"/>
  <c r="O88" i="98" s="1"/>
  <c r="N47" i="98"/>
  <c r="O47" i="98" s="1"/>
  <c r="N60" i="98"/>
  <c r="O60" i="98" s="1"/>
  <c r="N70" i="98"/>
  <c r="O70" i="98" s="1"/>
  <c r="N79" i="98"/>
  <c r="O79" i="98" s="1"/>
  <c r="N38" i="98"/>
  <c r="M44" i="98"/>
  <c r="M44" i="103" s="1"/>
  <c r="M7" i="98"/>
  <c r="M7" i="103" s="1"/>
  <c r="M7" i="104" s="1"/>
  <c r="M6" i="98"/>
  <c r="M4" i="98"/>
  <c r="M4" i="103" s="1"/>
  <c r="M4" i="104" s="1"/>
  <c r="N34" i="98"/>
  <c r="O34" i="98" s="1"/>
  <c r="M19" i="98"/>
  <c r="M19" i="103" s="1"/>
  <c r="M19" i="104" s="1"/>
  <c r="M16" i="98"/>
  <c r="M25" i="98"/>
  <c r="M3" i="98"/>
  <c r="M3" i="103" s="1"/>
  <c r="M3" i="104" s="1"/>
  <c r="M14" i="98"/>
  <c r="M11" i="98"/>
  <c r="N13" i="98"/>
  <c r="O13" i="98" s="1"/>
  <c r="N43" i="98"/>
  <c r="N102" i="98"/>
  <c r="O102" i="98" s="1"/>
  <c r="N95" i="98"/>
  <c r="O95" i="98" s="1"/>
  <c r="N44" i="98"/>
  <c r="O44" i="98" s="1"/>
  <c r="M35" i="98"/>
  <c r="N33" i="98"/>
  <c r="N12" i="98"/>
  <c r="O12" i="98" s="1"/>
  <c r="M24" i="98"/>
  <c r="M24" i="103" s="1"/>
  <c r="M24" i="104" s="1"/>
  <c r="M40" i="98"/>
  <c r="M40" i="103" s="1"/>
  <c r="M40" i="104" s="1"/>
  <c r="N25" i="98"/>
  <c r="O25" i="98" s="1"/>
  <c r="N52" i="98"/>
  <c r="O52" i="98" s="1"/>
  <c r="N3" i="98"/>
  <c r="M29" i="98"/>
  <c r="M15" i="98"/>
  <c r="M15" i="103" s="1"/>
  <c r="M15" i="104" s="1"/>
  <c r="N87" i="98"/>
  <c r="O87" i="98" s="1"/>
  <c r="N85" i="98"/>
  <c r="O85" i="98" s="1"/>
  <c r="N103" i="98"/>
  <c r="O103" i="98" s="1"/>
  <c r="N90" i="98"/>
  <c r="O90" i="98" s="1"/>
  <c r="M27" i="98"/>
  <c r="M12" i="98"/>
  <c r="N21" i="98"/>
  <c r="M23" i="98"/>
  <c r="N39" i="98"/>
  <c r="O39" i="98" s="1"/>
  <c r="N40" i="98"/>
  <c r="M36" i="98"/>
  <c r="M36" i="103" s="1"/>
  <c r="M36" i="104" s="1"/>
  <c r="N18" i="98"/>
  <c r="N29" i="98"/>
  <c r="N83" i="98"/>
  <c r="O83" i="98" s="1"/>
  <c r="N69" i="98"/>
  <c r="O69" i="98" s="1"/>
  <c r="N49" i="98"/>
  <c r="O49" i="98" s="1"/>
  <c r="N74" i="98"/>
  <c r="O74" i="98" s="1"/>
  <c r="N67" i="98"/>
  <c r="O67" i="98" s="1"/>
  <c r="N104" i="98"/>
  <c r="O104" i="98" s="1"/>
  <c r="N27" i="98"/>
  <c r="O27" i="98" s="1"/>
  <c r="M21" i="98"/>
  <c r="N42" i="98"/>
  <c r="N2" i="98"/>
  <c r="O2" i="98" s="1"/>
  <c r="N26" i="98"/>
  <c r="O26" i="98" s="1"/>
  <c r="N36" i="98"/>
  <c r="M18" i="98"/>
  <c r="M10" i="98"/>
  <c r="M10" i="103" s="1"/>
  <c r="M10" i="104" s="1"/>
  <c r="N64" i="98"/>
  <c r="O64" i="98" s="1"/>
  <c r="N98" i="98"/>
  <c r="O98" i="98" s="1"/>
  <c r="N56" i="98"/>
  <c r="O56" i="98" s="1"/>
  <c r="N76" i="98"/>
  <c r="O76" i="98" s="1"/>
  <c r="N99" i="98"/>
  <c r="O99" i="98" s="1"/>
  <c r="N6" i="98"/>
  <c r="O6" i="98" s="1"/>
  <c r="N5" i="98"/>
  <c r="O5" i="98" s="1"/>
  <c r="N35" i="98"/>
  <c r="N8" i="98"/>
  <c r="N7" i="98"/>
  <c r="O7" i="98" s="1"/>
  <c r="N92" i="98"/>
  <c r="O92" i="98" s="1"/>
  <c r="N93" i="98"/>
  <c r="O93" i="98" s="1"/>
  <c r="N10" i="98"/>
  <c r="O10" i="98" s="1"/>
  <c r="N80" i="98"/>
  <c r="O80" i="98" s="1"/>
  <c r="N101" i="98"/>
  <c r="O101" i="98" s="1"/>
  <c r="N71" i="98"/>
  <c r="O71" i="98" s="1"/>
  <c r="N46" i="98"/>
  <c r="O46" i="98" s="1"/>
  <c r="N32" i="98"/>
  <c r="M38" i="98"/>
  <c r="M5" i="98"/>
  <c r="M5" i="103" s="1"/>
  <c r="M5" i="104" s="1"/>
  <c r="N20" i="98"/>
  <c r="N11" i="103"/>
  <c r="N11" i="104" s="1"/>
  <c r="O11" i="104" s="1"/>
  <c r="D146" i="58"/>
  <c r="O34" i="100"/>
  <c r="N34" i="101"/>
  <c r="O28" i="102"/>
  <c r="O26" i="97"/>
  <c r="M37" i="101"/>
  <c r="M37" i="102" s="1"/>
  <c r="BB20" i="57"/>
  <c r="M43" i="101"/>
  <c r="M43" i="102" s="1"/>
  <c r="O43" i="102" s="1"/>
  <c r="O43" i="96"/>
  <c r="M38" i="102"/>
  <c r="O38" i="101"/>
  <c r="M37" i="100"/>
  <c r="O37" i="100" s="1"/>
  <c r="O37" i="95"/>
  <c r="N42" i="102"/>
  <c r="M27" i="101"/>
  <c r="M27" i="102" s="1"/>
  <c r="O27" i="96"/>
  <c r="O3" i="102"/>
  <c r="BR100" i="55"/>
  <c r="O39" i="96"/>
  <c r="N39" i="101"/>
  <c r="N39" i="102" s="1"/>
  <c r="O12" i="96"/>
  <c r="N12" i="101"/>
  <c r="N12" i="102" s="1"/>
  <c r="N7" i="100"/>
  <c r="O7" i="95"/>
  <c r="O5" i="97"/>
  <c r="O24" i="102"/>
  <c r="BR42" i="55"/>
  <c r="O31" i="101"/>
  <c r="N27" i="100"/>
  <c r="O27" i="100" s="1"/>
  <c r="O44" i="100"/>
  <c r="N40" i="100"/>
  <c r="O40" i="100" s="1"/>
  <c r="O40" i="95"/>
  <c r="BR43" i="55"/>
  <c r="BR10" i="55"/>
  <c r="M32" i="100"/>
  <c r="M32" i="101" s="1"/>
  <c r="O32" i="101" s="1"/>
  <c r="O32" i="95"/>
  <c r="BR39" i="55"/>
  <c r="O40" i="96"/>
  <c r="BP166" i="55"/>
  <c r="BR166" i="55" s="1"/>
  <c r="N27" i="101"/>
  <c r="N40" i="101"/>
  <c r="O26" i="100"/>
  <c r="M21" i="102"/>
  <c r="M11" i="102"/>
  <c r="M25" i="101"/>
  <c r="O25" i="101" s="1"/>
  <c r="O41" i="88"/>
  <c r="F138" i="84"/>
  <c r="F139" i="84" s="1"/>
  <c r="H138" i="84"/>
  <c r="H139" i="84" s="1"/>
  <c r="E120" i="84"/>
  <c r="K120" i="84"/>
  <c r="G120" i="84"/>
  <c r="M120" i="84"/>
  <c r="B119" i="84"/>
  <c r="L138" i="84"/>
  <c r="L139" i="84" s="1"/>
  <c r="J138" i="84"/>
  <c r="J139" i="84" s="1"/>
  <c r="D138" i="84"/>
  <c r="D139" i="84" s="1"/>
  <c r="B147" i="84"/>
  <c r="N33" i="100"/>
  <c r="N33" i="101" s="1"/>
  <c r="M6" i="101"/>
  <c r="M6" i="102" s="1"/>
  <c r="Y85" i="58"/>
  <c r="H85" i="58" s="1"/>
  <c r="Y88" i="58"/>
  <c r="H88" i="58" s="1"/>
  <c r="H82" i="58"/>
  <c r="BE72" i="52"/>
  <c r="N72" i="52"/>
  <c r="J167" i="86"/>
  <c r="J168" i="86" s="1"/>
  <c r="D167" i="86"/>
  <c r="D168" i="86" s="1"/>
  <c r="J109" i="84"/>
  <c r="J110" i="84" s="1"/>
  <c r="N96" i="98"/>
  <c r="O96" i="98" s="1"/>
  <c r="N50" i="98"/>
  <c r="O50" i="98" s="1"/>
  <c r="N86" i="98"/>
  <c r="O86" i="98" s="1"/>
  <c r="N59" i="98"/>
  <c r="O59" i="98" s="1"/>
  <c r="N73" i="98"/>
  <c r="O73" i="98" s="1"/>
  <c r="M60" i="96"/>
  <c r="AD34" i="58"/>
  <c r="M56" i="96"/>
  <c r="AP7" i="16"/>
  <c r="M4" i="45"/>
  <c r="E2" i="58"/>
  <c r="N1" i="68"/>
  <c r="E33" i="87"/>
  <c r="AC143" i="52"/>
  <c r="L143" i="52" s="1"/>
  <c r="AC146" i="52"/>
  <c r="AD130" i="52" s="1"/>
  <c r="M130" i="52" s="1"/>
  <c r="J51" i="84"/>
  <c r="J52" i="84" s="1"/>
  <c r="B32" i="84"/>
  <c r="BE163" i="55"/>
  <c r="BT163" i="55" s="1"/>
  <c r="N163" i="55"/>
  <c r="BE7" i="57"/>
  <c r="N7" i="57"/>
  <c r="N58" i="98"/>
  <c r="O58" i="98" s="1"/>
  <c r="N65" i="98"/>
  <c r="O65" i="98" s="1"/>
  <c r="M89" i="97"/>
  <c r="BW11" i="16"/>
  <c r="E62" i="85"/>
  <c r="BJ9" i="16"/>
  <c r="F82" i="57"/>
  <c r="W83" i="57"/>
  <c r="F83" i="57" s="1"/>
  <c r="BE168" i="52"/>
  <c r="N168" i="52"/>
  <c r="L109" i="84"/>
  <c r="L110" i="84" s="1"/>
  <c r="BF80" i="59"/>
  <c r="N63" i="96"/>
  <c r="O63" i="96" s="1"/>
  <c r="AI11" i="16"/>
  <c r="M33" i="45"/>
  <c r="AD94" i="53"/>
  <c r="N1" i="58"/>
  <c r="BF50" i="58"/>
  <c r="BB50" i="59"/>
  <c r="X64" i="57"/>
  <c r="BJ8" i="16"/>
  <c r="BV9" i="16"/>
  <c r="BV11" i="16" s="1"/>
  <c r="BX8" i="16"/>
  <c r="BV8" i="16"/>
  <c r="CD8" i="16" s="1"/>
  <c r="BV10" i="16"/>
  <c r="BE75" i="55"/>
  <c r="N75" i="55"/>
  <c r="H167" i="86"/>
  <c r="H168" i="86" s="1"/>
  <c r="K91" i="84"/>
  <c r="N72" i="98"/>
  <c r="O72" i="98" s="1"/>
  <c r="Z34" i="53"/>
  <c r="BF110" i="57"/>
  <c r="U118" i="55"/>
  <c r="U117" i="55"/>
  <c r="U116" i="55"/>
  <c r="D116" i="55" s="1"/>
  <c r="BF110" i="52"/>
  <c r="BE101" i="52"/>
  <c r="N101" i="52"/>
  <c r="O32" i="88"/>
  <c r="M149" i="86"/>
  <c r="I91" i="84"/>
  <c r="M91" i="84"/>
  <c r="N53" i="98"/>
  <c r="O53" i="98" s="1"/>
  <c r="N51" i="98"/>
  <c r="O51" i="98" s="1"/>
  <c r="N94" i="98"/>
  <c r="O94" i="98" s="1"/>
  <c r="AP8" i="16"/>
  <c r="A2" i="75"/>
  <c r="BG130" i="52"/>
  <c r="N33" i="88" s="1"/>
  <c r="BO133" i="52"/>
  <c r="BS164" i="52"/>
  <c r="BF46" i="53"/>
  <c r="BO73" i="53"/>
  <c r="BO77" i="53"/>
  <c r="BO100" i="53"/>
  <c r="BG127" i="53"/>
  <c r="N23" i="95" s="1"/>
  <c r="O23" i="95" s="1"/>
  <c r="BF166" i="53"/>
  <c r="BF170" i="53" s="1"/>
  <c r="BT130" i="58"/>
  <c r="BS42" i="59"/>
  <c r="BO71" i="59"/>
  <c r="BO73" i="59"/>
  <c r="K62" i="86"/>
  <c r="BE163" i="53"/>
  <c r="BT163" i="53" s="1"/>
  <c r="N38" i="59"/>
  <c r="W173" i="52"/>
  <c r="F173" i="52" s="1"/>
  <c r="BE44" i="57"/>
  <c r="BG40" i="52"/>
  <c r="N19" i="88" s="1"/>
  <c r="BT47" i="52"/>
  <c r="BF106" i="52"/>
  <c r="BF38" i="53"/>
  <c r="BF50" i="53" s="1"/>
  <c r="BS73" i="55"/>
  <c r="M14" i="96" s="1"/>
  <c r="O14" i="96" s="1"/>
  <c r="BT68" i="57"/>
  <c r="BT133" i="58"/>
  <c r="BS137" i="58"/>
  <c r="BG37" i="59"/>
  <c r="N97" i="99" s="1"/>
  <c r="O97" i="99" s="1"/>
  <c r="BT45" i="59"/>
  <c r="BT76" i="59"/>
  <c r="BS130" i="59"/>
  <c r="BO166" i="52"/>
  <c r="BF40" i="53"/>
  <c r="BF67" i="53"/>
  <c r="BF80" i="53" s="1"/>
  <c r="BO103" i="53"/>
  <c r="BS160" i="53"/>
  <c r="M41" i="95" s="1"/>
  <c r="M41" i="100" s="1"/>
  <c r="O41" i="100" s="1"/>
  <c r="BF14" i="59"/>
  <c r="BF20" i="59" s="1"/>
  <c r="BF102" i="59"/>
  <c r="BF110" i="59" s="1"/>
  <c r="BF107" i="59"/>
  <c r="BG138" i="59"/>
  <c r="N46" i="53"/>
  <c r="BT100" i="52"/>
  <c r="BF133" i="53"/>
  <c r="BS37" i="55"/>
  <c r="M18" i="96" s="1"/>
  <c r="M18" i="101" s="1"/>
  <c r="M18" i="102" s="1"/>
  <c r="BS9" i="59"/>
  <c r="N102" i="59"/>
  <c r="Y88" i="52"/>
  <c r="CD18" i="16"/>
  <c r="AE79" i="52"/>
  <c r="AE139" i="52"/>
  <c r="BG77" i="52"/>
  <c r="BF161" i="52"/>
  <c r="BS10" i="53"/>
  <c r="M35" i="95" s="1"/>
  <c r="BF17" i="53"/>
  <c r="BO43" i="53"/>
  <c r="BG167" i="53"/>
  <c r="N71" i="95" s="1"/>
  <c r="O71" i="95" s="1"/>
  <c r="BT162" i="55"/>
  <c r="BT167" i="55"/>
  <c r="BF13" i="57"/>
  <c r="BF20" i="57" s="1"/>
  <c r="BF132" i="57"/>
  <c r="BF140" i="57" s="1"/>
  <c r="BT132" i="58"/>
  <c r="BF163" i="58"/>
  <c r="BF170" i="58" s="1"/>
  <c r="BT166" i="58"/>
  <c r="BO17" i="59"/>
  <c r="BO40" i="59"/>
  <c r="Q11" i="16"/>
  <c r="BD11" i="16"/>
  <c r="N106" i="57"/>
  <c r="N42" i="57"/>
  <c r="BO37" i="52"/>
  <c r="BF45" i="52"/>
  <c r="BF50" i="52" s="1"/>
  <c r="BO157" i="52"/>
  <c r="BP157" i="52" s="1"/>
  <c r="BT12" i="53"/>
  <c r="BT136" i="53"/>
  <c r="BF163" i="55"/>
  <c r="BF170" i="55" s="1"/>
  <c r="BO8" i="57"/>
  <c r="BG39" i="57"/>
  <c r="BF47" i="57"/>
  <c r="BF50" i="57" s="1"/>
  <c r="BG135" i="57"/>
  <c r="BO158" i="57"/>
  <c r="BP158" i="57" s="1"/>
  <c r="BG47" i="59"/>
  <c r="BF167" i="59"/>
  <c r="BF170" i="59" s="1"/>
  <c r="BJ10" i="16"/>
  <c r="I62" i="85"/>
  <c r="CX6" i="16"/>
  <c r="N130" i="57"/>
  <c r="BT7" i="52"/>
  <c r="N78" i="59"/>
  <c r="N47" i="58"/>
  <c r="BG67" i="52"/>
  <c r="N5" i="88" s="1"/>
  <c r="BF72" i="52"/>
  <c r="BF80" i="52" s="1"/>
  <c r="BG76" i="52"/>
  <c r="N2" i="88" s="1"/>
  <c r="BF160" i="52"/>
  <c r="BF7" i="53"/>
  <c r="BF20" i="53" s="1"/>
  <c r="BT11" i="53"/>
  <c r="BS70" i="53"/>
  <c r="M14" i="95" s="1"/>
  <c r="BF128" i="53"/>
  <c r="BF140" i="53" s="1"/>
  <c r="BT161" i="55"/>
  <c r="BT165" i="55"/>
  <c r="BG42" i="57"/>
  <c r="BT39" i="58"/>
  <c r="BO165" i="58"/>
  <c r="BO39" i="59"/>
  <c r="BT100" i="59"/>
  <c r="D85" i="57"/>
  <c r="L147" i="59"/>
  <c r="AB136" i="53"/>
  <c r="K136" i="53" s="1"/>
  <c r="H87" i="52"/>
  <c r="H117" i="57"/>
  <c r="U89" i="57"/>
  <c r="D89" i="57" s="1"/>
  <c r="W59" i="53"/>
  <c r="F59" i="53" s="1"/>
  <c r="D55" i="52"/>
  <c r="F58" i="53"/>
  <c r="D86" i="57"/>
  <c r="H86" i="59"/>
  <c r="V97" i="55"/>
  <c r="E97" i="55" s="1"/>
  <c r="V166" i="53"/>
  <c r="E166" i="53" s="1"/>
  <c r="L145" i="52"/>
  <c r="AB46" i="57"/>
  <c r="K46" i="57" s="1"/>
  <c r="F176" i="55"/>
  <c r="H117" i="53"/>
  <c r="J116" i="52"/>
  <c r="D58" i="59"/>
  <c r="AC115" i="52"/>
  <c r="L115" i="52" s="1"/>
  <c r="F116" i="58"/>
  <c r="J117" i="52"/>
  <c r="X166" i="52"/>
  <c r="G166" i="52" s="1"/>
  <c r="H85" i="59"/>
  <c r="Y145" i="55"/>
  <c r="AC179" i="57"/>
  <c r="AD169" i="57" s="1"/>
  <c r="M169" i="57" s="1"/>
  <c r="Z46" i="55"/>
  <c r="I46" i="55" s="1"/>
  <c r="AD73" i="53"/>
  <c r="M73" i="53" s="1"/>
  <c r="H88" i="59"/>
  <c r="Y119" i="57"/>
  <c r="H119" i="57" s="1"/>
  <c r="V73" i="57"/>
  <c r="E73" i="57" s="1"/>
  <c r="AB130" i="55"/>
  <c r="K130" i="55" s="1"/>
  <c r="AA57" i="59"/>
  <c r="J57" i="59" s="1"/>
  <c r="J115" i="59"/>
  <c r="W115" i="53"/>
  <c r="X97" i="53" s="1"/>
  <c r="G97" i="53" s="1"/>
  <c r="AC117" i="59"/>
  <c r="AD103" i="59" s="1"/>
  <c r="M103" i="59" s="1"/>
  <c r="AB133" i="53"/>
  <c r="K133" i="53" s="1"/>
  <c r="Y145" i="59"/>
  <c r="H145" i="59" s="1"/>
  <c r="AA59" i="57"/>
  <c r="J59" i="57" s="1"/>
  <c r="Z97" i="57"/>
  <c r="I97" i="57" s="1"/>
  <c r="L146" i="52"/>
  <c r="X106" i="58"/>
  <c r="G106" i="58" s="1"/>
  <c r="Y148" i="59"/>
  <c r="H148" i="59" s="1"/>
  <c r="Y86" i="53"/>
  <c r="Z70" i="53" s="1"/>
  <c r="I70" i="53" s="1"/>
  <c r="AA119" i="59"/>
  <c r="J119" i="59" s="1"/>
  <c r="V43" i="59"/>
  <c r="E43" i="59" s="1"/>
  <c r="H86" i="52"/>
  <c r="AD136" i="52"/>
  <c r="M136" i="52" s="1"/>
  <c r="AD37" i="58"/>
  <c r="M37" i="58" s="1"/>
  <c r="H116" i="57"/>
  <c r="L86" i="55"/>
  <c r="AA56" i="53"/>
  <c r="J56" i="53" s="1"/>
  <c r="X157" i="59"/>
  <c r="G157" i="59" s="1"/>
  <c r="AA85" i="58"/>
  <c r="AB67" i="58" s="1"/>
  <c r="K67" i="58" s="1"/>
  <c r="H115" i="57"/>
  <c r="Y117" i="58"/>
  <c r="Z103" i="58" s="1"/>
  <c r="I103" i="58" s="1"/>
  <c r="F115" i="53"/>
  <c r="W26" i="57"/>
  <c r="F26" i="57" s="1"/>
  <c r="AA176" i="59"/>
  <c r="AC86" i="57"/>
  <c r="Y147" i="59"/>
  <c r="U25" i="52"/>
  <c r="V7" i="52" s="1"/>
  <c r="E7" i="52" s="1"/>
  <c r="W179" i="59"/>
  <c r="AA85" i="55"/>
  <c r="U148" i="57"/>
  <c r="F175" i="55"/>
  <c r="U25" i="59"/>
  <c r="D25" i="59" s="1"/>
  <c r="W25" i="55"/>
  <c r="F25" i="55" s="1"/>
  <c r="J118" i="59"/>
  <c r="L176" i="57"/>
  <c r="Y177" i="53"/>
  <c r="W88" i="59"/>
  <c r="J57" i="57"/>
  <c r="F146" i="57"/>
  <c r="AB133" i="55"/>
  <c r="K133" i="55" s="1"/>
  <c r="Y118" i="55"/>
  <c r="H118" i="55" s="1"/>
  <c r="W179" i="55"/>
  <c r="F179" i="55" s="1"/>
  <c r="J148" i="55"/>
  <c r="AB130" i="53"/>
  <c r="K130" i="53" s="1"/>
  <c r="W88" i="52"/>
  <c r="F88" i="52" s="1"/>
  <c r="Y146" i="59"/>
  <c r="AD133" i="52"/>
  <c r="M133" i="52" s="1"/>
  <c r="AA178" i="53"/>
  <c r="J178" i="53" s="1"/>
  <c r="AA28" i="57"/>
  <c r="AC118" i="59"/>
  <c r="W85" i="57"/>
  <c r="F85" i="57" s="1"/>
  <c r="W58" i="59"/>
  <c r="AA119" i="52"/>
  <c r="L145" i="59"/>
  <c r="U115" i="57"/>
  <c r="V97" i="57" s="1"/>
  <c r="E97" i="57" s="1"/>
  <c r="J145" i="55"/>
  <c r="W178" i="53"/>
  <c r="F178" i="53" s="1"/>
  <c r="AC28" i="53"/>
  <c r="X43" i="53"/>
  <c r="G43" i="53" s="1"/>
  <c r="AA175" i="59"/>
  <c r="AA26" i="57"/>
  <c r="AC149" i="52"/>
  <c r="X163" i="52"/>
  <c r="G163" i="52" s="1"/>
  <c r="X166" i="59"/>
  <c r="G166" i="59" s="1"/>
  <c r="AB160" i="58"/>
  <c r="K160" i="58" s="1"/>
  <c r="Y55" i="57"/>
  <c r="H55" i="57" s="1"/>
  <c r="L179" i="57"/>
  <c r="AD163" i="57"/>
  <c r="M163" i="57" s="1"/>
  <c r="J55" i="57"/>
  <c r="AA149" i="55"/>
  <c r="U119" i="55"/>
  <c r="D119" i="55" s="1"/>
  <c r="F178" i="55"/>
  <c r="Y25" i="53"/>
  <c r="Z7" i="53" s="1"/>
  <c r="I7" i="53" s="1"/>
  <c r="AC26" i="57"/>
  <c r="AA147" i="57"/>
  <c r="AA178" i="57"/>
  <c r="J178" i="57" s="1"/>
  <c r="AC116" i="57"/>
  <c r="W148" i="55"/>
  <c r="AC27" i="55"/>
  <c r="AD13" i="55" s="1"/>
  <c r="M13" i="55" s="1"/>
  <c r="W56" i="55"/>
  <c r="G37" i="53"/>
  <c r="B132" i="53"/>
  <c r="AA87" i="53"/>
  <c r="AC27" i="57"/>
  <c r="AD13" i="57" s="1"/>
  <c r="M13" i="57" s="1"/>
  <c r="AA117" i="55"/>
  <c r="AA86" i="53"/>
  <c r="AA88" i="55"/>
  <c r="AA87" i="55"/>
  <c r="J87" i="55" s="1"/>
  <c r="AA57" i="55"/>
  <c r="Z67" i="52"/>
  <c r="H85" i="52"/>
  <c r="Y89" i="52"/>
  <c r="B37" i="57"/>
  <c r="Y25" i="57"/>
  <c r="U177" i="57"/>
  <c r="AA177" i="57"/>
  <c r="AB163" i="57" s="1"/>
  <c r="K163" i="57" s="1"/>
  <c r="U118" i="57"/>
  <c r="AC28" i="57"/>
  <c r="AA146" i="57"/>
  <c r="AB130" i="57" s="1"/>
  <c r="AA148" i="57"/>
  <c r="Y57" i="57"/>
  <c r="U56" i="57"/>
  <c r="D56" i="57" s="1"/>
  <c r="AC118" i="57"/>
  <c r="W27" i="57"/>
  <c r="W87" i="57"/>
  <c r="F87" i="57" s="1"/>
  <c r="AC25" i="57"/>
  <c r="W88" i="57"/>
  <c r="F88" i="57" s="1"/>
  <c r="Y147" i="57"/>
  <c r="W28" i="57"/>
  <c r="X16" i="57" s="1"/>
  <c r="G16" i="57" s="1"/>
  <c r="AC117" i="57"/>
  <c r="Y56" i="57"/>
  <c r="Y58" i="57"/>
  <c r="Z46" i="57" s="1"/>
  <c r="I46" i="57" s="1"/>
  <c r="B37" i="52"/>
  <c r="AA147" i="52"/>
  <c r="W145" i="52"/>
  <c r="AA56" i="52"/>
  <c r="U86" i="52"/>
  <c r="U116" i="57"/>
  <c r="D116" i="57" s="1"/>
  <c r="AA177" i="55"/>
  <c r="J177" i="55" s="1"/>
  <c r="AC147" i="55"/>
  <c r="AC178" i="55"/>
  <c r="L178" i="55" s="1"/>
  <c r="U177" i="55"/>
  <c r="AC177" i="55"/>
  <c r="AC115" i="57"/>
  <c r="AC176" i="55"/>
  <c r="W87" i="55"/>
  <c r="F87" i="55" s="1"/>
  <c r="B12" i="58"/>
  <c r="AC146" i="58"/>
  <c r="AA56" i="58"/>
  <c r="W87" i="58"/>
  <c r="X73" i="58" s="1"/>
  <c r="G73" i="58" s="1"/>
  <c r="AC87" i="58"/>
  <c r="W177" i="58"/>
  <c r="U118" i="58"/>
  <c r="AA26" i="58"/>
  <c r="U87" i="58"/>
  <c r="AA88" i="58"/>
  <c r="AA117" i="58"/>
  <c r="J117" i="58" s="1"/>
  <c r="AC118" i="58"/>
  <c r="W146" i="58"/>
  <c r="W26" i="58"/>
  <c r="U55" i="58"/>
  <c r="D55" i="58" s="1"/>
  <c r="Y26" i="58"/>
  <c r="AA147" i="58"/>
  <c r="AA25" i="58"/>
  <c r="Y118" i="58"/>
  <c r="Y115" i="58"/>
  <c r="Y116" i="58"/>
  <c r="U88" i="58"/>
  <c r="AC116" i="58"/>
  <c r="Y148" i="58"/>
  <c r="AA55" i="58"/>
  <c r="AC177" i="58"/>
  <c r="L177" i="58" s="1"/>
  <c r="W56" i="58"/>
  <c r="AA118" i="58"/>
  <c r="U85" i="58"/>
  <c r="V67" i="58" s="1"/>
  <c r="AC148" i="58"/>
  <c r="L148" i="58" s="1"/>
  <c r="W175" i="58"/>
  <c r="AC88" i="58"/>
  <c r="W176" i="58"/>
  <c r="Y177" i="58"/>
  <c r="Z163" i="58" s="1"/>
  <c r="I163" i="58" s="1"/>
  <c r="U177" i="58"/>
  <c r="AA28" i="58"/>
  <c r="AA148" i="58"/>
  <c r="U175" i="58"/>
  <c r="W57" i="58"/>
  <c r="AA145" i="58"/>
  <c r="W88" i="58"/>
  <c r="F88" i="58" s="1"/>
  <c r="AC86" i="58"/>
  <c r="W145" i="58"/>
  <c r="AC176" i="58"/>
  <c r="AD160" i="58" s="1"/>
  <c r="M160" i="58" s="1"/>
  <c r="AC115" i="58"/>
  <c r="AC145" i="58"/>
  <c r="AC175" i="58"/>
  <c r="B67" i="59"/>
  <c r="AA58" i="59"/>
  <c r="Y175" i="59"/>
  <c r="AA145" i="57"/>
  <c r="U25" i="55"/>
  <c r="Y87" i="55"/>
  <c r="Z73" i="55" s="1"/>
  <c r="I73" i="55" s="1"/>
  <c r="Y115" i="55"/>
  <c r="Z97" i="55" s="1"/>
  <c r="I97" i="55" s="1"/>
  <c r="W25" i="57"/>
  <c r="H145" i="55"/>
  <c r="B15" i="55"/>
  <c r="AC118" i="55"/>
  <c r="AD106" i="55" s="1"/>
  <c r="AA118" i="55"/>
  <c r="W117" i="55"/>
  <c r="AC116" i="55"/>
  <c r="W57" i="55"/>
  <c r="U57" i="55"/>
  <c r="V43" i="55" s="1"/>
  <c r="E43" i="55" s="1"/>
  <c r="U58" i="55"/>
  <c r="Y117" i="55"/>
  <c r="AA58" i="55"/>
  <c r="W115" i="55"/>
  <c r="Y26" i="55"/>
  <c r="AA26" i="55"/>
  <c r="AB10" i="55" s="1"/>
  <c r="K10" i="55" s="1"/>
  <c r="AA25" i="55"/>
  <c r="U176" i="55"/>
  <c r="U148" i="55"/>
  <c r="U85" i="55"/>
  <c r="W86" i="55"/>
  <c r="F86" i="55" s="1"/>
  <c r="U86" i="55"/>
  <c r="D86" i="55" s="1"/>
  <c r="W145" i="55"/>
  <c r="AA55" i="55"/>
  <c r="U147" i="55"/>
  <c r="U26" i="55"/>
  <c r="Y116" i="55"/>
  <c r="AA175" i="55"/>
  <c r="J175" i="55" s="1"/>
  <c r="Y147" i="55"/>
  <c r="W55" i="55"/>
  <c r="U55" i="55"/>
  <c r="AC115" i="55"/>
  <c r="L115" i="55" s="1"/>
  <c r="AC57" i="55"/>
  <c r="W116" i="55"/>
  <c r="Y27" i="55"/>
  <c r="Z13" i="55" s="1"/>
  <c r="I13" i="55" s="1"/>
  <c r="Y28" i="55"/>
  <c r="AA28" i="55"/>
  <c r="AB16" i="55" s="1"/>
  <c r="K16" i="55" s="1"/>
  <c r="AC148" i="55"/>
  <c r="L148" i="55" s="1"/>
  <c r="AA115" i="55"/>
  <c r="AC28" i="55"/>
  <c r="Y88" i="55"/>
  <c r="AC25" i="55"/>
  <c r="AC145" i="55"/>
  <c r="Y175" i="55"/>
  <c r="W118" i="55"/>
  <c r="W27" i="55"/>
  <c r="AA176" i="55"/>
  <c r="Y178" i="55"/>
  <c r="Z166" i="55" s="1"/>
  <c r="I166" i="55" s="1"/>
  <c r="AC26" i="55"/>
  <c r="L26" i="55" s="1"/>
  <c r="AC56" i="55"/>
  <c r="W58" i="55"/>
  <c r="AC146" i="55"/>
  <c r="W146" i="55"/>
  <c r="Y176" i="55"/>
  <c r="U56" i="55"/>
  <c r="W85" i="55"/>
  <c r="F85" i="55" s="1"/>
  <c r="U175" i="55"/>
  <c r="V157" i="55" s="1"/>
  <c r="E157" i="55" s="1"/>
  <c r="U145" i="55"/>
  <c r="D145" i="55" s="1"/>
  <c r="Y25" i="55"/>
  <c r="Y146" i="55"/>
  <c r="Y86" i="55"/>
  <c r="Y148" i="55"/>
  <c r="W26" i="55"/>
  <c r="AC117" i="55"/>
  <c r="W147" i="55"/>
  <c r="X133" i="55" s="1"/>
  <c r="U88" i="55"/>
  <c r="V76" i="55" s="1"/>
  <c r="AC58" i="55"/>
  <c r="U178" i="55"/>
  <c r="Y85" i="55"/>
  <c r="AC55" i="55"/>
  <c r="W28" i="55"/>
  <c r="Y177" i="55"/>
  <c r="H177" i="55" s="1"/>
  <c r="U28" i="55"/>
  <c r="W88" i="55"/>
  <c r="F88" i="55" s="1"/>
  <c r="AA178" i="55"/>
  <c r="V43" i="52"/>
  <c r="D57" i="52"/>
  <c r="W86" i="57"/>
  <c r="U117" i="57"/>
  <c r="AA175" i="57"/>
  <c r="Z127" i="55"/>
  <c r="I127" i="55" s="1"/>
  <c r="V109" i="55"/>
  <c r="E109" i="55" s="1"/>
  <c r="AA27" i="55"/>
  <c r="U27" i="55"/>
  <c r="D27" i="55" s="1"/>
  <c r="AA56" i="55"/>
  <c r="W27" i="59"/>
  <c r="F58" i="59"/>
  <c r="X46" i="59"/>
  <c r="G46" i="59" s="1"/>
  <c r="F179" i="59"/>
  <c r="X169" i="59"/>
  <c r="G169" i="59" s="1"/>
  <c r="F176" i="52"/>
  <c r="X160" i="52"/>
  <c r="G160" i="52" s="1"/>
  <c r="D117" i="55"/>
  <c r="V103" i="55"/>
  <c r="E103" i="55" s="1"/>
  <c r="X157" i="52"/>
  <c r="G157" i="52" s="1"/>
  <c r="F175" i="52"/>
  <c r="W179" i="52"/>
  <c r="H116" i="53"/>
  <c r="Z100" i="53"/>
  <c r="I100" i="53" s="1"/>
  <c r="AC175" i="55"/>
  <c r="AA86" i="55"/>
  <c r="J86" i="55" s="1"/>
  <c r="U87" i="55"/>
  <c r="B7" i="55"/>
  <c r="B13" i="52"/>
  <c r="U117" i="52"/>
  <c r="AC117" i="52"/>
  <c r="U147" i="52"/>
  <c r="Y175" i="52"/>
  <c r="W55" i="52"/>
  <c r="W118" i="52"/>
  <c r="W58" i="52"/>
  <c r="AC58" i="52"/>
  <c r="AC28" i="52"/>
  <c r="Y26" i="52"/>
  <c r="U116" i="52"/>
  <c r="W87" i="52"/>
  <c r="W56" i="52"/>
  <c r="W25" i="52"/>
  <c r="U85" i="52"/>
  <c r="AA146" i="52"/>
  <c r="AC56" i="52"/>
  <c r="AA177" i="52"/>
  <c r="Y176" i="52"/>
  <c r="Y28" i="52"/>
  <c r="AA148" i="52"/>
  <c r="U145" i="52"/>
  <c r="AA26" i="52"/>
  <c r="AC55" i="52"/>
  <c r="W148" i="52"/>
  <c r="U178" i="52"/>
  <c r="W147" i="52"/>
  <c r="AA176" i="52"/>
  <c r="U176" i="52"/>
  <c r="Y57" i="52"/>
  <c r="Y27" i="52"/>
  <c r="W26" i="52"/>
  <c r="AA57" i="52"/>
  <c r="AC87" i="52"/>
  <c r="Y117" i="52"/>
  <c r="U27" i="52"/>
  <c r="AC57" i="52"/>
  <c r="U115" i="52"/>
  <c r="U118" i="52"/>
  <c r="AA25" i="52"/>
  <c r="Y56" i="52"/>
  <c r="AA85" i="52"/>
  <c r="W28" i="52"/>
  <c r="AC86" i="52"/>
  <c r="AA86" i="52"/>
  <c r="W85" i="52"/>
  <c r="W116" i="52"/>
  <c r="U88" i="52"/>
  <c r="AC26" i="52"/>
  <c r="Y116" i="52"/>
  <c r="AA88" i="52"/>
  <c r="Y146" i="52"/>
  <c r="AA178" i="52"/>
  <c r="B46" i="59"/>
  <c r="AA28" i="59"/>
  <c r="U175" i="59"/>
  <c r="AA26" i="59"/>
  <c r="Y55" i="59"/>
  <c r="U147" i="59"/>
  <c r="AC86" i="59"/>
  <c r="Y58" i="59"/>
  <c r="Z46" i="59" s="1"/>
  <c r="I46" i="59" s="1"/>
  <c r="AC85" i="59"/>
  <c r="AA88" i="59"/>
  <c r="AA25" i="59"/>
  <c r="Y26" i="59"/>
  <c r="U145" i="59"/>
  <c r="AC87" i="59"/>
  <c r="AC56" i="59"/>
  <c r="Y56" i="59"/>
  <c r="W115" i="59"/>
  <c r="X97" i="59" s="1"/>
  <c r="W116" i="59"/>
  <c r="W117" i="59"/>
  <c r="X103" i="59" s="1"/>
  <c r="G103" i="59" s="1"/>
  <c r="Y117" i="59"/>
  <c r="Z103" i="59" s="1"/>
  <c r="I103" i="59" s="1"/>
  <c r="Y28" i="59"/>
  <c r="AC88" i="59"/>
  <c r="AC27" i="59"/>
  <c r="AC25" i="59"/>
  <c r="AC26" i="59"/>
  <c r="AA55" i="59"/>
  <c r="U118" i="59"/>
  <c r="W56" i="59"/>
  <c r="W118" i="59"/>
  <c r="Y176" i="59"/>
  <c r="AA85" i="59"/>
  <c r="AB67" i="59" s="1"/>
  <c r="AA56" i="59"/>
  <c r="AC55" i="59"/>
  <c r="U178" i="59"/>
  <c r="B11" i="53"/>
  <c r="W148" i="53"/>
  <c r="W85" i="53"/>
  <c r="AA26" i="53"/>
  <c r="W147" i="53"/>
  <c r="W26" i="53"/>
  <c r="Y178" i="53"/>
  <c r="Y58" i="53"/>
  <c r="H58" i="53" s="1"/>
  <c r="U148" i="53"/>
  <c r="Y56" i="53"/>
  <c r="U56" i="53"/>
  <c r="D56" i="53" s="1"/>
  <c r="W146" i="53"/>
  <c r="U86" i="53"/>
  <c r="Y147" i="53"/>
  <c r="Y145" i="53"/>
  <c r="Y28" i="53"/>
  <c r="U57" i="53"/>
  <c r="AC148" i="53"/>
  <c r="Y87" i="53"/>
  <c r="AA116" i="53"/>
  <c r="Y146" i="53"/>
  <c r="AA88" i="53"/>
  <c r="AC176" i="53"/>
  <c r="U85" i="53"/>
  <c r="W175" i="53"/>
  <c r="AC26" i="53"/>
  <c r="AA117" i="53"/>
  <c r="J117" i="53" s="1"/>
  <c r="AC55" i="53"/>
  <c r="L55" i="53" s="1"/>
  <c r="AC25" i="53"/>
  <c r="AA25" i="53"/>
  <c r="AB7" i="53" s="1"/>
  <c r="AC56" i="53"/>
  <c r="L56" i="53" s="1"/>
  <c r="AA27" i="53"/>
  <c r="AC116" i="53"/>
  <c r="AC146" i="53"/>
  <c r="Y85" i="53"/>
  <c r="AC147" i="53"/>
  <c r="AA115" i="53"/>
  <c r="AC177" i="53"/>
  <c r="AA177" i="53"/>
  <c r="AC178" i="53"/>
  <c r="AA118" i="53"/>
  <c r="AB106" i="53" s="1"/>
  <c r="K106" i="53" s="1"/>
  <c r="AA55" i="53"/>
  <c r="AA175" i="53"/>
  <c r="AC145" i="53"/>
  <c r="AD127" i="53" s="1"/>
  <c r="AA85" i="53"/>
  <c r="W118" i="53"/>
  <c r="W87" i="53"/>
  <c r="W116" i="53"/>
  <c r="AA57" i="53"/>
  <c r="Y148" i="53"/>
  <c r="W28" i="53"/>
  <c r="Y55" i="53"/>
  <c r="AC117" i="53"/>
  <c r="W145" i="53"/>
  <c r="AC115" i="53"/>
  <c r="W177" i="53"/>
  <c r="AC175" i="53"/>
  <c r="W88" i="53"/>
  <c r="F88" i="53" s="1"/>
  <c r="U58" i="53"/>
  <c r="AA58" i="53"/>
  <c r="J58" i="53" s="1"/>
  <c r="W25" i="53"/>
  <c r="X103" i="58"/>
  <c r="G103" i="58" s="1"/>
  <c r="F117" i="58"/>
  <c r="X169" i="55"/>
  <c r="G169" i="55" s="1"/>
  <c r="AA116" i="55"/>
  <c r="V46" i="52"/>
  <c r="D58" i="52"/>
  <c r="V133" i="58"/>
  <c r="E133" i="58" s="1"/>
  <c r="D147" i="58"/>
  <c r="F177" i="55"/>
  <c r="X163" i="55"/>
  <c r="G163" i="55" s="1"/>
  <c r="L175" i="57"/>
  <c r="AD157" i="57"/>
  <c r="M157" i="57" s="1"/>
  <c r="X163" i="59"/>
  <c r="G163" i="59" s="1"/>
  <c r="F177" i="59"/>
  <c r="AA85" i="57"/>
  <c r="W176" i="57"/>
  <c r="AA176" i="57"/>
  <c r="AC148" i="57"/>
  <c r="U146" i="57"/>
  <c r="W58" i="57"/>
  <c r="Y146" i="57"/>
  <c r="U176" i="57"/>
  <c r="Y28" i="57"/>
  <c r="AC55" i="57"/>
  <c r="AC56" i="57"/>
  <c r="AA118" i="57"/>
  <c r="AC58" i="57"/>
  <c r="AC145" i="57"/>
  <c r="AA115" i="57"/>
  <c r="U175" i="57"/>
  <c r="AC147" i="57"/>
  <c r="W178" i="57"/>
  <c r="AA116" i="57"/>
  <c r="W117" i="57"/>
  <c r="W177" i="57"/>
  <c r="Y26" i="57"/>
  <c r="Y175" i="57"/>
  <c r="AC146" i="57"/>
  <c r="W118" i="57"/>
  <c r="AA25" i="57"/>
  <c r="U147" i="57"/>
  <c r="AC85" i="57"/>
  <c r="AA86" i="57"/>
  <c r="B7" i="57"/>
  <c r="AC88" i="57"/>
  <c r="W175" i="57"/>
  <c r="U178" i="57"/>
  <c r="AA88" i="57"/>
  <c r="AA87" i="57"/>
  <c r="W115" i="57"/>
  <c r="Y27" i="57"/>
  <c r="AA117" i="57"/>
  <c r="Y178" i="57"/>
  <c r="AC57" i="57"/>
  <c r="U145" i="57"/>
  <c r="AC87" i="57"/>
  <c r="W116" i="57"/>
  <c r="L85" i="53"/>
  <c r="AD67" i="53"/>
  <c r="M67" i="53" s="1"/>
  <c r="AC89" i="53"/>
  <c r="Z106" i="53"/>
  <c r="I106" i="53" s="1"/>
  <c r="H118" i="53"/>
  <c r="D56" i="52"/>
  <c r="U59" i="52"/>
  <c r="AA177" i="59"/>
  <c r="Y115" i="59"/>
  <c r="W55" i="59"/>
  <c r="W87" i="59"/>
  <c r="Y57" i="59"/>
  <c r="AA87" i="59"/>
  <c r="U148" i="59"/>
  <c r="AC28" i="59"/>
  <c r="U28" i="59"/>
  <c r="Y116" i="59"/>
  <c r="U177" i="59"/>
  <c r="D177" i="59" s="1"/>
  <c r="U26" i="59"/>
  <c r="Y118" i="59"/>
  <c r="U176" i="59"/>
  <c r="AA86" i="59"/>
  <c r="W85" i="59"/>
  <c r="AC115" i="59"/>
  <c r="W86" i="59"/>
  <c r="W57" i="59"/>
  <c r="Y177" i="59"/>
  <c r="U27" i="59"/>
  <c r="AA27" i="59"/>
  <c r="U146" i="59"/>
  <c r="Y178" i="59"/>
  <c r="Y25" i="59"/>
  <c r="Y27" i="59"/>
  <c r="AC116" i="59"/>
  <c r="W27" i="53"/>
  <c r="AC118" i="53"/>
  <c r="AA176" i="53"/>
  <c r="AB160" i="53" s="1"/>
  <c r="K160" i="53" s="1"/>
  <c r="Y88" i="53"/>
  <c r="Y57" i="53"/>
  <c r="AA28" i="53"/>
  <c r="Y175" i="53"/>
  <c r="U55" i="53"/>
  <c r="W117" i="53"/>
  <c r="AC27" i="53"/>
  <c r="W176" i="53"/>
  <c r="W86" i="53"/>
  <c r="J145" i="53"/>
  <c r="AA149" i="53"/>
  <c r="J117" i="59"/>
  <c r="AB103" i="59"/>
  <c r="K103" i="59" s="1"/>
  <c r="W57" i="52"/>
  <c r="U26" i="52"/>
  <c r="V10" i="52" s="1"/>
  <c r="AC88" i="52"/>
  <c r="AC25" i="52"/>
  <c r="AC178" i="52"/>
  <c r="W117" i="52"/>
  <c r="AA87" i="52"/>
  <c r="AA27" i="52"/>
  <c r="Y115" i="52"/>
  <c r="AC116" i="52"/>
  <c r="Y55" i="52"/>
  <c r="Y147" i="52"/>
  <c r="U175" i="52"/>
  <c r="AC118" i="52"/>
  <c r="Y118" i="52"/>
  <c r="AA145" i="52"/>
  <c r="W27" i="52"/>
  <c r="Y145" i="52"/>
  <c r="AA58" i="52"/>
  <c r="Y178" i="52"/>
  <c r="U177" i="52"/>
  <c r="U146" i="52"/>
  <c r="AC176" i="52"/>
  <c r="AA175" i="52"/>
  <c r="Y148" i="52"/>
  <c r="Y25" i="52"/>
  <c r="AC177" i="52"/>
  <c r="U148" i="52"/>
  <c r="AC175" i="52"/>
  <c r="U87" i="52"/>
  <c r="AA55" i="52"/>
  <c r="AC85" i="52"/>
  <c r="W115" i="52"/>
  <c r="W86" i="52"/>
  <c r="AC27" i="52"/>
  <c r="Y177" i="52"/>
  <c r="AA28" i="52"/>
  <c r="W146" i="52"/>
  <c r="U28" i="52"/>
  <c r="Y58" i="52"/>
  <c r="U176" i="58"/>
  <c r="Y27" i="58"/>
  <c r="W55" i="58"/>
  <c r="AA146" i="58"/>
  <c r="AA115" i="58"/>
  <c r="W148" i="58"/>
  <c r="AC117" i="58"/>
  <c r="U116" i="58"/>
  <c r="AA27" i="58"/>
  <c r="U58" i="58"/>
  <c r="W86" i="58"/>
  <c r="AC178" i="58"/>
  <c r="U117" i="58"/>
  <c r="D117" i="58" s="1"/>
  <c r="U57" i="58"/>
  <c r="W178" i="58"/>
  <c r="AA87" i="58"/>
  <c r="AB73" i="58" s="1"/>
  <c r="K73" i="58" s="1"/>
  <c r="U86" i="58"/>
  <c r="Y28" i="58"/>
  <c r="AA58" i="58"/>
  <c r="AA57" i="58"/>
  <c r="U115" i="58"/>
  <c r="U178" i="58"/>
  <c r="D178" i="58" s="1"/>
  <c r="AC85" i="58"/>
  <c r="W85" i="58"/>
  <c r="F85" i="58" s="1"/>
  <c r="AC147" i="58"/>
  <c r="AA86" i="58"/>
  <c r="J86" i="58" s="1"/>
  <c r="AA116" i="58"/>
  <c r="W147" i="58"/>
  <c r="U56" i="58"/>
  <c r="Y25" i="58"/>
  <c r="W25" i="58"/>
  <c r="W58" i="58"/>
  <c r="F56" i="53"/>
  <c r="X40" i="53"/>
  <c r="G40" i="53" s="1"/>
  <c r="D55" i="59"/>
  <c r="V37" i="59"/>
  <c r="E37" i="59" s="1"/>
  <c r="F115" i="58"/>
  <c r="W119" i="58"/>
  <c r="F119" i="58" s="1"/>
  <c r="N9" i="101"/>
  <c r="O9" i="100"/>
  <c r="O31" i="102"/>
  <c r="M29" i="102"/>
  <c r="O22" i="100"/>
  <c r="N22" i="101"/>
  <c r="AB49" i="57"/>
  <c r="N27" i="102"/>
  <c r="O27" i="101"/>
  <c r="O37" i="102"/>
  <c r="N16" i="102"/>
  <c r="O24" i="97"/>
  <c r="O42" i="102"/>
  <c r="M127" i="52"/>
  <c r="O39" i="101"/>
  <c r="O37" i="101"/>
  <c r="M26" i="101"/>
  <c r="M17" i="102"/>
  <c r="M23" i="101"/>
  <c r="M23" i="102" s="1"/>
  <c r="O8" i="96"/>
  <c r="O32" i="100"/>
  <c r="W27" i="58"/>
  <c r="F27" i="58" s="1"/>
  <c r="M13" i="101"/>
  <c r="M13" i="102" s="1"/>
  <c r="M12" i="101"/>
  <c r="M12" i="102" s="1"/>
  <c r="M2" i="101"/>
  <c r="N20" i="99"/>
  <c r="O20" i="99" s="1"/>
  <c r="O43" i="101"/>
  <c r="N33" i="102"/>
  <c r="M32" i="102"/>
  <c r="O32" i="102" s="1"/>
  <c r="N6" i="102"/>
  <c r="AA178" i="59"/>
  <c r="M43" i="98"/>
  <c r="M43" i="103" s="1"/>
  <c r="AB166" i="57"/>
  <c r="J148" i="57"/>
  <c r="AB136" i="57"/>
  <c r="K136" i="57" s="1"/>
  <c r="L25" i="57"/>
  <c r="AD7" i="57"/>
  <c r="M7" i="57" s="1"/>
  <c r="J149" i="55"/>
  <c r="AB139" i="55"/>
  <c r="K139" i="55" s="1"/>
  <c r="W145" i="59"/>
  <c r="W143" i="59"/>
  <c r="F143" i="59" s="1"/>
  <c r="W146" i="59"/>
  <c r="F142" i="59"/>
  <c r="W147" i="59"/>
  <c r="W148" i="59"/>
  <c r="J178" i="58"/>
  <c r="AB166" i="58"/>
  <c r="K166" i="58" s="1"/>
  <c r="AA179" i="58"/>
  <c r="U23" i="57"/>
  <c r="D23" i="57" s="1"/>
  <c r="U27" i="57"/>
  <c r="U26" i="57"/>
  <c r="U25" i="57"/>
  <c r="D22" i="57"/>
  <c r="U28" i="57"/>
  <c r="U113" i="53"/>
  <c r="D113" i="53" s="1"/>
  <c r="D112" i="53"/>
  <c r="U117" i="53"/>
  <c r="U115" i="53"/>
  <c r="U118" i="53"/>
  <c r="U116" i="53"/>
  <c r="U53" i="57"/>
  <c r="D53" i="57" s="1"/>
  <c r="U55" i="57"/>
  <c r="D52" i="57"/>
  <c r="V79" i="57"/>
  <c r="V100" i="57"/>
  <c r="E76" i="57"/>
  <c r="Y85" i="57"/>
  <c r="D56" i="59"/>
  <c r="U59" i="59"/>
  <c r="G160" i="59"/>
  <c r="X170" i="59"/>
  <c r="G170" i="59" s="1"/>
  <c r="H86" i="58"/>
  <c r="Z70" i="58"/>
  <c r="H177" i="53"/>
  <c r="Z163" i="53"/>
  <c r="I163" i="53" s="1"/>
  <c r="L172" i="59"/>
  <c r="AC177" i="59"/>
  <c r="AC173" i="59"/>
  <c r="L173" i="59" s="1"/>
  <c r="AC178" i="59"/>
  <c r="AC176" i="59"/>
  <c r="D22" i="58"/>
  <c r="U26" i="58"/>
  <c r="U28" i="58"/>
  <c r="U23" i="58"/>
  <c r="D23" i="58" s="1"/>
  <c r="U27" i="58"/>
  <c r="X76" i="57"/>
  <c r="U25" i="58"/>
  <c r="F115" i="59"/>
  <c r="E40" i="59"/>
  <c r="F145" i="55"/>
  <c r="X127" i="55"/>
  <c r="G127" i="55" s="1"/>
  <c r="Y149" i="59"/>
  <c r="AC175" i="59"/>
  <c r="Z37" i="57"/>
  <c r="I37" i="57" s="1"/>
  <c r="Y86" i="57"/>
  <c r="U57" i="57"/>
  <c r="F26" i="55"/>
  <c r="X10" i="55"/>
  <c r="X136" i="55"/>
  <c r="G136" i="55" s="1"/>
  <c r="F148" i="55"/>
  <c r="AB157" i="55"/>
  <c r="Z136" i="55"/>
  <c r="I136" i="55" s="1"/>
  <c r="H148" i="55"/>
  <c r="J175" i="59"/>
  <c r="AB157" i="59"/>
  <c r="Y87" i="57"/>
  <c r="U58" i="57"/>
  <c r="Y88" i="57"/>
  <c r="AB163" i="55"/>
  <c r="K163" i="55" s="1"/>
  <c r="Z46" i="53"/>
  <c r="Z16" i="53"/>
  <c r="I16" i="53" s="1"/>
  <c r="H28" i="53"/>
  <c r="V70" i="55"/>
  <c r="AD37" i="53"/>
  <c r="J28" i="59"/>
  <c r="AB16" i="59"/>
  <c r="K16" i="59" s="1"/>
  <c r="L52" i="53"/>
  <c r="AC53" i="53"/>
  <c r="L53" i="53" s="1"/>
  <c r="AC57" i="53"/>
  <c r="AC58" i="53"/>
  <c r="L142" i="55"/>
  <c r="AC143" i="55"/>
  <c r="L143" i="55" s="1"/>
  <c r="W53" i="57"/>
  <c r="F53" i="57" s="1"/>
  <c r="W55" i="57"/>
  <c r="W57" i="57"/>
  <c r="F52" i="57"/>
  <c r="W56" i="57"/>
  <c r="Y58" i="58"/>
  <c r="Y53" i="58"/>
  <c r="H53" i="58" s="1"/>
  <c r="H52" i="58"/>
  <c r="Y57" i="58"/>
  <c r="Y56" i="58"/>
  <c r="Y55" i="58"/>
  <c r="D112" i="59"/>
  <c r="U115" i="59"/>
  <c r="U116" i="59"/>
  <c r="U117" i="59"/>
  <c r="U113" i="59"/>
  <c r="D113" i="59" s="1"/>
  <c r="X76" i="53"/>
  <c r="G97" i="58"/>
  <c r="H117" i="59"/>
  <c r="CO11" i="16"/>
  <c r="V64" i="58"/>
  <c r="E62" i="86"/>
  <c r="AB109" i="59"/>
  <c r="V157" i="53"/>
  <c r="D175" i="53"/>
  <c r="L146" i="59"/>
  <c r="AC149" i="59"/>
  <c r="Z94" i="58"/>
  <c r="CX8" i="16"/>
  <c r="AC26" i="58"/>
  <c r="AC28" i="58"/>
  <c r="AC27" i="58"/>
  <c r="AC23" i="58"/>
  <c r="L23" i="58" s="1"/>
  <c r="AC25" i="58"/>
  <c r="D22" i="53"/>
  <c r="U27" i="53"/>
  <c r="U25" i="53"/>
  <c r="U26" i="53"/>
  <c r="U28" i="53"/>
  <c r="W148" i="57"/>
  <c r="W147" i="57"/>
  <c r="F142" i="57"/>
  <c r="W143" i="57"/>
  <c r="F143" i="57" s="1"/>
  <c r="W145" i="57"/>
  <c r="Y176" i="58"/>
  <c r="Z160" i="58" s="1"/>
  <c r="Y173" i="58"/>
  <c r="H173" i="58" s="1"/>
  <c r="Y178" i="58"/>
  <c r="Y175" i="58"/>
  <c r="D82" i="59"/>
  <c r="U86" i="59"/>
  <c r="U85" i="59"/>
  <c r="U88" i="59"/>
  <c r="U87" i="59"/>
  <c r="U83" i="59"/>
  <c r="D83" i="59" s="1"/>
  <c r="L145" i="53"/>
  <c r="AB73" i="53"/>
  <c r="J87" i="53"/>
  <c r="AB94" i="58"/>
  <c r="K91" i="86"/>
  <c r="D145" i="58"/>
  <c r="V127" i="58"/>
  <c r="U149" i="58"/>
  <c r="AB157" i="58"/>
  <c r="J175" i="58"/>
  <c r="Y23" i="53"/>
  <c r="H23" i="53" s="1"/>
  <c r="Y26" i="53"/>
  <c r="Y27" i="53"/>
  <c r="U83" i="53"/>
  <c r="D83" i="53" s="1"/>
  <c r="U88" i="53"/>
  <c r="U87" i="53"/>
  <c r="H172" i="57"/>
  <c r="Y176" i="57"/>
  <c r="Y173" i="57"/>
  <c r="H173" i="57" s="1"/>
  <c r="Y177" i="57"/>
  <c r="J142" i="59"/>
  <c r="AA147" i="59"/>
  <c r="AA146" i="59"/>
  <c r="AA145" i="59"/>
  <c r="AA143" i="59"/>
  <c r="J143" i="59" s="1"/>
  <c r="AA148" i="59"/>
  <c r="AB163" i="58"/>
  <c r="K163" i="58" s="1"/>
  <c r="J177" i="58"/>
  <c r="L86" i="53"/>
  <c r="AD70" i="53"/>
  <c r="AB154" i="58"/>
  <c r="K149" i="86"/>
  <c r="V124" i="58"/>
  <c r="E120" i="86"/>
  <c r="AC56" i="58"/>
  <c r="AC58" i="58"/>
  <c r="L52" i="58"/>
  <c r="AC53" i="58"/>
  <c r="L53" i="58" s="1"/>
  <c r="AC57" i="58"/>
  <c r="AC58" i="59"/>
  <c r="AC57" i="59"/>
  <c r="L52" i="59"/>
  <c r="L88" i="53"/>
  <c r="AD76" i="53"/>
  <c r="M76" i="53" s="1"/>
  <c r="AD94" i="58"/>
  <c r="M91" i="86"/>
  <c r="U176" i="53"/>
  <c r="U177" i="53"/>
  <c r="U143" i="55"/>
  <c r="D143" i="55" s="1"/>
  <c r="U146" i="55"/>
  <c r="D142" i="55"/>
  <c r="H142" i="57"/>
  <c r="Y148" i="57"/>
  <c r="Y145" i="57"/>
  <c r="Y143" i="57"/>
  <c r="H143" i="57" s="1"/>
  <c r="M62" i="86"/>
  <c r="AD64" i="58"/>
  <c r="W23" i="59"/>
  <c r="F23" i="59" s="1"/>
  <c r="W26" i="59"/>
  <c r="F22" i="59"/>
  <c r="W28" i="59"/>
  <c r="W25" i="59"/>
  <c r="AA83" i="53"/>
  <c r="J83" i="53" s="1"/>
  <c r="J82" i="53"/>
  <c r="AC87" i="55"/>
  <c r="AC88" i="55"/>
  <c r="AC83" i="55"/>
  <c r="L83" i="55" s="1"/>
  <c r="AC85" i="55"/>
  <c r="L82" i="55"/>
  <c r="Y147" i="58"/>
  <c r="Y143" i="58"/>
  <c r="H143" i="58" s="1"/>
  <c r="Y145" i="58"/>
  <c r="Y146" i="58"/>
  <c r="H87" i="59"/>
  <c r="Y89" i="59"/>
  <c r="Z73" i="59"/>
  <c r="G4" i="86"/>
  <c r="X4" i="58"/>
  <c r="CP11" i="16"/>
  <c r="U23" i="55"/>
  <c r="D23" i="55" s="1"/>
  <c r="D22" i="55"/>
  <c r="U143" i="53"/>
  <c r="D143" i="53" s="1"/>
  <c r="U147" i="53"/>
  <c r="U146" i="53"/>
  <c r="U145" i="53"/>
  <c r="Y173" i="53"/>
  <c r="H173" i="53" s="1"/>
  <c r="Y176" i="53"/>
  <c r="H52" i="55"/>
  <c r="Y56" i="55"/>
  <c r="Y55" i="55"/>
  <c r="Y57" i="55"/>
  <c r="AA27" i="57"/>
  <c r="F176" i="59"/>
  <c r="CX5" i="16"/>
  <c r="J116" i="59"/>
  <c r="Z97" i="53"/>
  <c r="AA23" i="55"/>
  <c r="J23" i="55" s="1"/>
  <c r="W23" i="58"/>
  <c r="F23" i="58" s="1"/>
  <c r="Y119" i="53"/>
  <c r="W28" i="58"/>
  <c r="I33" i="86"/>
  <c r="J172" i="59"/>
  <c r="K130" i="57"/>
  <c r="O18" i="96"/>
  <c r="N18" i="101"/>
  <c r="BR37" i="55"/>
  <c r="BR159" i="55"/>
  <c r="BR134" i="55"/>
  <c r="BR47" i="55"/>
  <c r="BR38" i="55"/>
  <c r="BR13" i="55"/>
  <c r="BR48" i="55"/>
  <c r="BR18" i="55"/>
  <c r="BR11" i="55"/>
  <c r="BR8" i="55"/>
  <c r="BR16" i="55"/>
  <c r="BR46" i="55"/>
  <c r="BR72" i="55"/>
  <c r="BR129" i="55"/>
  <c r="BR165" i="55"/>
  <c r="BR133" i="55"/>
  <c r="BR76" i="55"/>
  <c r="BR71" i="55"/>
  <c r="BR75" i="55"/>
  <c r="BR12" i="55"/>
  <c r="M16" i="102"/>
  <c r="O16" i="101"/>
  <c r="H87" i="55"/>
  <c r="AD136" i="55"/>
  <c r="J115" i="55"/>
  <c r="O29" i="88"/>
  <c r="N29" i="100"/>
  <c r="V136" i="58"/>
  <c r="D148" i="58"/>
  <c r="BP127" i="59"/>
  <c r="BP46" i="59"/>
  <c r="BP161" i="59"/>
  <c r="BP10" i="59"/>
  <c r="BP105" i="59"/>
  <c r="BP99" i="59"/>
  <c r="BP9" i="59"/>
  <c r="BP16" i="59"/>
  <c r="BP101" i="59"/>
  <c r="BP73" i="59"/>
  <c r="BP7" i="59"/>
  <c r="BP134" i="59"/>
  <c r="BP69" i="59"/>
  <c r="BP165" i="59"/>
  <c r="BP39" i="59"/>
  <c r="BP98" i="59"/>
  <c r="BP14" i="59"/>
  <c r="BP37" i="59"/>
  <c r="BP74" i="59"/>
  <c r="BP137" i="59"/>
  <c r="BP158" i="59"/>
  <c r="BP162" i="59"/>
  <c r="BP100" i="59"/>
  <c r="BP164" i="59"/>
  <c r="BP78" i="59"/>
  <c r="BP157" i="59"/>
  <c r="BP166" i="59"/>
  <c r="BP138" i="59"/>
  <c r="BP68" i="59"/>
  <c r="BP103" i="59"/>
  <c r="BP12" i="59"/>
  <c r="BP97" i="59"/>
  <c r="BP168" i="59"/>
  <c r="BP40" i="59"/>
  <c r="BP72" i="59"/>
  <c r="BP136" i="59"/>
  <c r="BP8" i="59"/>
  <c r="BP75" i="59"/>
  <c r="BP130" i="59"/>
  <c r="BP129" i="59"/>
  <c r="B148" i="84"/>
  <c r="H167" i="84"/>
  <c r="H168" i="84" s="1"/>
  <c r="M67" i="98"/>
  <c r="M55" i="98"/>
  <c r="M57" i="98"/>
  <c r="M100" i="98"/>
  <c r="M74" i="98"/>
  <c r="M102" i="98"/>
  <c r="M90" i="98"/>
  <c r="M82" i="98"/>
  <c r="M94" i="98"/>
  <c r="M66" i="98"/>
  <c r="M103" i="98"/>
  <c r="M54" i="98"/>
  <c r="M53" i="98"/>
  <c r="M59" i="98"/>
  <c r="M99" i="98"/>
  <c r="M89" i="98"/>
  <c r="M63" i="98"/>
  <c r="M65" i="98"/>
  <c r="M81" i="98"/>
  <c r="M80" i="98"/>
  <c r="M47" i="98"/>
  <c r="M86" i="98"/>
  <c r="M62" i="98"/>
  <c r="M48" i="98"/>
  <c r="M83" i="98"/>
  <c r="M71" i="98"/>
  <c r="M75" i="98"/>
  <c r="M79" i="98"/>
  <c r="M68" i="98"/>
  <c r="BP104" i="59"/>
  <c r="BP107" i="59"/>
  <c r="BP15" i="59"/>
  <c r="BP159" i="59"/>
  <c r="BP41" i="59"/>
  <c r="BP43" i="59"/>
  <c r="BP11" i="59"/>
  <c r="BP128" i="59"/>
  <c r="BP160" i="59"/>
  <c r="BP47" i="59"/>
  <c r="BP67" i="59"/>
  <c r="BP71" i="59"/>
  <c r="BP45" i="59"/>
  <c r="BP77" i="59"/>
  <c r="BP17" i="59"/>
  <c r="BP131" i="59"/>
  <c r="BP44" i="59"/>
  <c r="BP133" i="59"/>
  <c r="BP132" i="59"/>
  <c r="BP38" i="59"/>
  <c r="BP167" i="59"/>
  <c r="BP48" i="59"/>
  <c r="BP135" i="59"/>
  <c r="BP76" i="59"/>
  <c r="BP70" i="59"/>
  <c r="BP163" i="59"/>
  <c r="L167" i="84"/>
  <c r="L168" i="84" s="1"/>
  <c r="I149" i="84"/>
  <c r="Z124" i="58"/>
  <c r="CQ11" i="16"/>
  <c r="CX9" i="16"/>
  <c r="BP42" i="59"/>
  <c r="N169" i="52"/>
  <c r="E149" i="84"/>
  <c r="E91" i="84"/>
  <c r="M90" i="97"/>
  <c r="M72" i="97"/>
  <c r="M56" i="97"/>
  <c r="M52" i="97"/>
  <c r="M79" i="97"/>
  <c r="M69" i="97"/>
  <c r="M45" i="97"/>
  <c r="M74" i="97"/>
  <c r="M99" i="97"/>
  <c r="M53" i="97"/>
  <c r="M71" i="97"/>
  <c r="M94" i="97"/>
  <c r="M67" i="97"/>
  <c r="M50" i="97"/>
  <c r="M98" i="97"/>
  <c r="M95" i="97"/>
  <c r="M55" i="97"/>
  <c r="M93" i="97"/>
  <c r="M102" i="97"/>
  <c r="M87" i="97"/>
  <c r="M80" i="97"/>
  <c r="M97" i="97"/>
  <c r="M82" i="97"/>
  <c r="M96" i="97"/>
  <c r="M59" i="97"/>
  <c r="M51" i="97"/>
  <c r="M83" i="97"/>
  <c r="M66" i="97"/>
  <c r="M75" i="97"/>
  <c r="M70" i="97"/>
  <c r="M91" i="97"/>
  <c r="M63" i="97"/>
  <c r="M103" i="97"/>
  <c r="M60" i="97"/>
  <c r="M47" i="97"/>
  <c r="M91" i="99"/>
  <c r="M46" i="99"/>
  <c r="M104" i="99"/>
  <c r="M89" i="99"/>
  <c r="M98" i="99"/>
  <c r="M73" i="99"/>
  <c r="M79" i="99"/>
  <c r="M57" i="99"/>
  <c r="M72" i="99"/>
  <c r="M53" i="99"/>
  <c r="M82" i="99"/>
  <c r="M78" i="99"/>
  <c r="M65" i="99"/>
  <c r="M93" i="99"/>
  <c r="M90" i="99"/>
  <c r="M52" i="99"/>
  <c r="M95" i="99"/>
  <c r="M92" i="99"/>
  <c r="M54" i="99"/>
  <c r="M62" i="99"/>
  <c r="M99" i="99"/>
  <c r="M66" i="99"/>
  <c r="M61" i="99"/>
  <c r="M63" i="99"/>
  <c r="M58" i="99"/>
  <c r="M69" i="99"/>
  <c r="M71" i="99"/>
  <c r="M77" i="99"/>
  <c r="M76" i="99"/>
  <c r="M81" i="99"/>
  <c r="M56" i="99"/>
  <c r="M101" i="99"/>
  <c r="M60" i="99"/>
  <c r="M97" i="99"/>
  <c r="M50" i="99"/>
  <c r="N69" i="97"/>
  <c r="O69" i="97" s="1"/>
  <c r="N67" i="97"/>
  <c r="O67" i="97" s="1"/>
  <c r="N62" i="97"/>
  <c r="O62" i="97" s="1"/>
  <c r="N60" i="97"/>
  <c r="O60" i="97" s="1"/>
  <c r="N76" i="97"/>
  <c r="O76" i="97" s="1"/>
  <c r="N99" i="97"/>
  <c r="O99" i="97" s="1"/>
  <c r="N75" i="97"/>
  <c r="O75" i="97" s="1"/>
  <c r="N54" i="97"/>
  <c r="O54" i="97" s="1"/>
  <c r="N88" i="97"/>
  <c r="O88" i="97" s="1"/>
  <c r="N83" i="97"/>
  <c r="O83" i="97" s="1"/>
  <c r="M1" i="52"/>
  <c r="A2" i="60"/>
  <c r="H109" i="84"/>
  <c r="H110" i="84" s="1"/>
  <c r="D167" i="84"/>
  <c r="D168" i="84" s="1"/>
  <c r="BP102" i="59"/>
  <c r="J138" i="41"/>
  <c r="J139" i="41" s="1"/>
  <c r="M120" i="41"/>
  <c r="G120" i="41"/>
  <c r="E120" i="41"/>
  <c r="B147" i="41"/>
  <c r="I120" i="41"/>
  <c r="B119" i="41"/>
  <c r="K120" i="41"/>
  <c r="L138" i="41"/>
  <c r="L139" i="41" s="1"/>
  <c r="D138" i="41"/>
  <c r="D139" i="41" s="1"/>
  <c r="F138" i="41"/>
  <c r="F139" i="41" s="1"/>
  <c r="H138" i="41"/>
  <c r="H139" i="41" s="1"/>
  <c r="X34" i="53"/>
  <c r="AB64" i="53"/>
  <c r="X4" i="57"/>
  <c r="AP6" i="16"/>
  <c r="N104" i="97"/>
  <c r="O104" i="97" s="1"/>
  <c r="G4" i="85"/>
  <c r="N88" i="96"/>
  <c r="O88" i="96" s="1"/>
  <c r="P88" i="96" s="1"/>
  <c r="X64" i="53"/>
  <c r="BB110" i="58"/>
  <c r="N109" i="58"/>
  <c r="AD154" i="58"/>
  <c r="BF80" i="58"/>
  <c r="E4" i="59"/>
  <c r="Z4" i="53"/>
  <c r="N78" i="57"/>
  <c r="E94" i="58"/>
  <c r="DL11" i="16"/>
  <c r="E4" i="53"/>
  <c r="K64" i="53"/>
  <c r="M154" i="53"/>
  <c r="I33" i="87"/>
  <c r="E154" i="53"/>
  <c r="M34" i="55"/>
  <c r="E64" i="57"/>
  <c r="M34" i="53"/>
  <c r="M4" i="55"/>
  <c r="M154" i="55"/>
  <c r="M69" i="98"/>
  <c r="M88" i="98"/>
  <c r="M73" i="98"/>
  <c r="M60" i="98"/>
  <c r="M85" i="98"/>
  <c r="V7" i="16"/>
  <c r="K62" i="87"/>
  <c r="N80" i="99"/>
  <c r="O80" i="99" s="1"/>
  <c r="N72" i="99"/>
  <c r="O72" i="99" s="1"/>
  <c r="N52" i="99"/>
  <c r="O52" i="99" s="1"/>
  <c r="N88" i="99"/>
  <c r="O88" i="99" s="1"/>
  <c r="K154" i="52"/>
  <c r="M4" i="41"/>
  <c r="M94" i="53"/>
  <c r="E154" i="58"/>
  <c r="M154" i="57"/>
  <c r="E94" i="57"/>
  <c r="DJ11" i="16"/>
  <c r="N57" i="98"/>
  <c r="O57" i="98" s="1"/>
  <c r="N68" i="98"/>
  <c r="O68" i="98" s="1"/>
  <c r="N91" i="98"/>
  <c r="O91" i="98" s="1"/>
  <c r="DR5" i="16"/>
  <c r="M94" i="58"/>
  <c r="M64" i="58"/>
  <c r="E94" i="53"/>
  <c r="E4" i="58"/>
  <c r="M64" i="53"/>
  <c r="M94" i="59"/>
  <c r="M86" i="99"/>
  <c r="M84" i="99"/>
  <c r="M154" i="58"/>
  <c r="M64" i="59"/>
  <c r="E34" i="59"/>
  <c r="M4" i="53"/>
  <c r="AC173" i="55"/>
  <c r="L173" i="55" s="1"/>
  <c r="L172" i="55"/>
  <c r="N23" i="88"/>
  <c r="N8" i="88"/>
  <c r="M49" i="88"/>
  <c r="AE19" i="52"/>
  <c r="N13" i="53"/>
  <c r="BE130" i="52"/>
  <c r="BT130" i="52" s="1"/>
  <c r="N130" i="52"/>
  <c r="N54" i="99"/>
  <c r="O54" i="99" s="1"/>
  <c r="N89" i="98"/>
  <c r="O89" i="98" s="1"/>
  <c r="M47" i="99"/>
  <c r="M103" i="99"/>
  <c r="N104" i="99"/>
  <c r="O104" i="99" s="1"/>
  <c r="AE109" i="52"/>
  <c r="N161" i="59"/>
  <c r="BE161" i="59"/>
  <c r="BT46" i="57"/>
  <c r="BE106" i="52"/>
  <c r="BT106" i="52" s="1"/>
  <c r="BU11" i="52" s="1"/>
  <c r="BV11" i="52" s="1"/>
  <c r="M28" i="102"/>
  <c r="N100" i="98"/>
  <c r="O100" i="98" s="1"/>
  <c r="BT136" i="52"/>
  <c r="BT163" i="52"/>
  <c r="M55" i="88"/>
  <c r="M101" i="98"/>
  <c r="M67" i="99"/>
  <c r="N99" i="99"/>
  <c r="O99" i="99" s="1"/>
  <c r="M100" i="99"/>
  <c r="BT106" i="55"/>
  <c r="BU42" i="55" s="1"/>
  <c r="BV42" i="55" s="1"/>
  <c r="N17" i="88"/>
  <c r="M33" i="88"/>
  <c r="M32" i="98"/>
  <c r="M12" i="99"/>
  <c r="N26" i="99"/>
  <c r="BT128" i="53"/>
  <c r="BT73" i="59"/>
  <c r="BU8" i="59" s="1"/>
  <c r="BG100" i="53"/>
  <c r="N17" i="95" s="1"/>
  <c r="O17" i="95" s="1"/>
  <c r="BS43" i="53"/>
  <c r="M20" i="95" s="1"/>
  <c r="BG46" i="53"/>
  <c r="N21" i="95" s="1"/>
  <c r="N2" i="99"/>
  <c r="O2" i="99" s="1"/>
  <c r="M14" i="99"/>
  <c r="M29" i="99"/>
  <c r="N40" i="99"/>
  <c r="O40" i="99" s="1"/>
  <c r="BS128" i="53"/>
  <c r="M33" i="95" s="1"/>
  <c r="O33" i="95" s="1"/>
  <c r="N24" i="98"/>
  <c r="N79" i="58" l="1"/>
  <c r="N49" i="58"/>
  <c r="BF140" i="58"/>
  <c r="O14" i="98"/>
  <c r="O19" i="98"/>
  <c r="BP168" i="58"/>
  <c r="BU160" i="58"/>
  <c r="O33" i="98"/>
  <c r="N19" i="58"/>
  <c r="BU74" i="58"/>
  <c r="BU12" i="58"/>
  <c r="BU130" i="58"/>
  <c r="BU157" i="58"/>
  <c r="O40" i="98"/>
  <c r="BB170" i="58"/>
  <c r="N37" i="103"/>
  <c r="N37" i="104" s="1"/>
  <c r="O38" i="98"/>
  <c r="O42" i="98"/>
  <c r="O41" i="98"/>
  <c r="O22" i="98"/>
  <c r="BU165" i="58"/>
  <c r="O23" i="98"/>
  <c r="BU107" i="58"/>
  <c r="BU42" i="58"/>
  <c r="BU45" i="58"/>
  <c r="BU104" i="58"/>
  <c r="BU40" i="58"/>
  <c r="O9" i="98"/>
  <c r="BU70" i="58"/>
  <c r="BU13" i="58"/>
  <c r="BU75" i="58"/>
  <c r="BU73" i="58"/>
  <c r="BU102" i="58"/>
  <c r="BU8" i="58"/>
  <c r="BU161" i="58"/>
  <c r="BU77" i="58"/>
  <c r="BU133" i="58"/>
  <c r="BU17" i="58"/>
  <c r="BU71" i="58"/>
  <c r="BU39" i="58"/>
  <c r="BU166" i="58"/>
  <c r="BU11" i="58"/>
  <c r="BU163" i="58"/>
  <c r="BU43" i="58"/>
  <c r="BU103" i="58"/>
  <c r="BU132" i="58"/>
  <c r="BU69" i="58"/>
  <c r="BU14" i="58"/>
  <c r="BU159" i="58"/>
  <c r="BU131" i="58"/>
  <c r="BU108" i="58"/>
  <c r="BU48" i="58"/>
  <c r="BU44" i="58"/>
  <c r="BU134" i="58"/>
  <c r="N139" i="58"/>
  <c r="BB140" i="58"/>
  <c r="O17" i="98"/>
  <c r="O8" i="98"/>
  <c r="N15" i="103"/>
  <c r="N15" i="104" s="1"/>
  <c r="O15" i="104" s="1"/>
  <c r="N41" i="103"/>
  <c r="N41" i="104" s="1"/>
  <c r="N38" i="103"/>
  <c r="N38" i="104" s="1"/>
  <c r="O16" i="98"/>
  <c r="O4" i="98"/>
  <c r="M37" i="103"/>
  <c r="M37" i="104" s="1"/>
  <c r="Z67" i="58"/>
  <c r="I67" i="58" s="1"/>
  <c r="O20" i="98"/>
  <c r="N25" i="103"/>
  <c r="N25" i="104" s="1"/>
  <c r="O21" i="98"/>
  <c r="O18" i="98"/>
  <c r="O43" i="98"/>
  <c r="M18" i="103"/>
  <c r="M18" i="104" s="1"/>
  <c r="O29" i="98"/>
  <c r="N33" i="103"/>
  <c r="N33" i="104" s="1"/>
  <c r="M11" i="103"/>
  <c r="M11" i="104" s="1"/>
  <c r="O35" i="98"/>
  <c r="M6" i="103"/>
  <c r="M6" i="104" s="1"/>
  <c r="M21" i="103"/>
  <c r="M21" i="104" s="1"/>
  <c r="N28" i="103"/>
  <c r="N28" i="104" s="1"/>
  <c r="O28" i="104" s="1"/>
  <c r="M29" i="103"/>
  <c r="M29" i="104" s="1"/>
  <c r="M23" i="103"/>
  <c r="M23" i="104" s="1"/>
  <c r="M17" i="103"/>
  <c r="M17" i="104" s="1"/>
  <c r="N12" i="103"/>
  <c r="N12" i="104" s="1"/>
  <c r="N42" i="103"/>
  <c r="N42" i="104" s="1"/>
  <c r="O42" i="104" s="1"/>
  <c r="O31" i="103"/>
  <c r="M13" i="103"/>
  <c r="M13" i="104" s="1"/>
  <c r="N31" i="104"/>
  <c r="O31" i="104" s="1"/>
  <c r="O31" i="98"/>
  <c r="N13" i="103"/>
  <c r="N30" i="103"/>
  <c r="N16" i="103"/>
  <c r="N16" i="104" s="1"/>
  <c r="N43" i="103"/>
  <c r="N43" i="104" s="1"/>
  <c r="N10" i="103"/>
  <c r="N10" i="104" s="1"/>
  <c r="O10" i="104" s="1"/>
  <c r="N44" i="103"/>
  <c r="N44" i="104" s="1"/>
  <c r="O32" i="98"/>
  <c r="O11" i="103"/>
  <c r="M27" i="103"/>
  <c r="M27" i="104" s="1"/>
  <c r="M44" i="104"/>
  <c r="N35" i="103"/>
  <c r="N35" i="104" s="1"/>
  <c r="O36" i="98"/>
  <c r="N36" i="103"/>
  <c r="O3" i="98"/>
  <c r="N3" i="103"/>
  <c r="N3" i="104" s="1"/>
  <c r="O3" i="104" s="1"/>
  <c r="O45" i="98"/>
  <c r="N45" i="103"/>
  <c r="N32" i="103"/>
  <c r="N32" i="104" s="1"/>
  <c r="N20" i="103"/>
  <c r="N20" i="104" s="1"/>
  <c r="N26" i="103"/>
  <c r="N26" i="104" s="1"/>
  <c r="D85" i="58"/>
  <c r="Z76" i="58"/>
  <c r="I76" i="58" s="1"/>
  <c r="AC89" i="58"/>
  <c r="L89" i="58" s="1"/>
  <c r="Y89" i="58"/>
  <c r="H89" i="58" s="1"/>
  <c r="AD163" i="58"/>
  <c r="M163" i="58" s="1"/>
  <c r="H177" i="58"/>
  <c r="V103" i="58"/>
  <c r="E103" i="58" s="1"/>
  <c r="V166" i="58"/>
  <c r="E166" i="58" s="1"/>
  <c r="AA29" i="58"/>
  <c r="J29" i="58" s="1"/>
  <c r="J85" i="58"/>
  <c r="BU40" i="52"/>
  <c r="BV40" i="52" s="1"/>
  <c r="P28" i="96"/>
  <c r="F117" i="59"/>
  <c r="BP41" i="58"/>
  <c r="BP16" i="58"/>
  <c r="BP167" i="58"/>
  <c r="BP128" i="58"/>
  <c r="BP7" i="58"/>
  <c r="BP39" i="58"/>
  <c r="BP157" i="58"/>
  <c r="BP73" i="58"/>
  <c r="BP74" i="58"/>
  <c r="BP45" i="58"/>
  <c r="BP11" i="58"/>
  <c r="BP166" i="58"/>
  <c r="BP97" i="58"/>
  <c r="BP12" i="58"/>
  <c r="BP129" i="58"/>
  <c r="BP98" i="58"/>
  <c r="BP44" i="58"/>
  <c r="BP133" i="58"/>
  <c r="BP10" i="58"/>
  <c r="BP48" i="58"/>
  <c r="BP101" i="58"/>
  <c r="BP9" i="58"/>
  <c r="BP160" i="58"/>
  <c r="BP130" i="58"/>
  <c r="BP75" i="58"/>
  <c r="BP78" i="58"/>
  <c r="BP42" i="58"/>
  <c r="BP108" i="58"/>
  <c r="BP162" i="58"/>
  <c r="BP43" i="58"/>
  <c r="BP104" i="58"/>
  <c r="BP37" i="58"/>
  <c r="BP136" i="58"/>
  <c r="BP161" i="58"/>
  <c r="BP69" i="58"/>
  <c r="BP106" i="58"/>
  <c r="BP13" i="58"/>
  <c r="BP77" i="58"/>
  <c r="BP135" i="58"/>
  <c r="BP67" i="58"/>
  <c r="BP131" i="58"/>
  <c r="BP103" i="58"/>
  <c r="BP15" i="58"/>
  <c r="BP127" i="58"/>
  <c r="BP8" i="58"/>
  <c r="BP70" i="58"/>
  <c r="BP107" i="58"/>
  <c r="BP18" i="58"/>
  <c r="BP17" i="58"/>
  <c r="BP158" i="58"/>
  <c r="BP134" i="58"/>
  <c r="BP40" i="58"/>
  <c r="BP47" i="58"/>
  <c r="BP46" i="58"/>
  <c r="BP164" i="58"/>
  <c r="BP14" i="58"/>
  <c r="BP71" i="58"/>
  <c r="BP99" i="58"/>
  <c r="BP38" i="58"/>
  <c r="BP105" i="58"/>
  <c r="BP68" i="58"/>
  <c r="BP138" i="58"/>
  <c r="BP72" i="58"/>
  <c r="BP100" i="58"/>
  <c r="BP165" i="58"/>
  <c r="BP159" i="58"/>
  <c r="BP46" i="52"/>
  <c r="BP16" i="52"/>
  <c r="BP14" i="52"/>
  <c r="BP17" i="52"/>
  <c r="BP160" i="52"/>
  <c r="BP7" i="52"/>
  <c r="BP103" i="52"/>
  <c r="BP67" i="52"/>
  <c r="BP77" i="52"/>
  <c r="BP108" i="52"/>
  <c r="BP159" i="52"/>
  <c r="BP167" i="52"/>
  <c r="BP44" i="52"/>
  <c r="BP74" i="52"/>
  <c r="BP72" i="52"/>
  <c r="BP134" i="52"/>
  <c r="BP37" i="52"/>
  <c r="BP12" i="52"/>
  <c r="BP71" i="52"/>
  <c r="BP99" i="52"/>
  <c r="BP69" i="52"/>
  <c r="BP168" i="52"/>
  <c r="BP73" i="52"/>
  <c r="BP162" i="52"/>
  <c r="BP131" i="52"/>
  <c r="BP40" i="52"/>
  <c r="BP105" i="52"/>
  <c r="BP15" i="52"/>
  <c r="BP130" i="52"/>
  <c r="BP106" i="52"/>
  <c r="BP132" i="52"/>
  <c r="BP42" i="52"/>
  <c r="BP18" i="52"/>
  <c r="BP68" i="52"/>
  <c r="BP41" i="52"/>
  <c r="BP78" i="52"/>
  <c r="BP164" i="52"/>
  <c r="BP128" i="52"/>
  <c r="BP137" i="52"/>
  <c r="BP8" i="52"/>
  <c r="BP136" i="52"/>
  <c r="BP48" i="52"/>
  <c r="BP100" i="52"/>
  <c r="BP104" i="52"/>
  <c r="BP135" i="52"/>
  <c r="BP163" i="52"/>
  <c r="BP76" i="52"/>
  <c r="BP129" i="52"/>
  <c r="BP107" i="52"/>
  <c r="BP11" i="52"/>
  <c r="BP38" i="52"/>
  <c r="BP43" i="52"/>
  <c r="BP75" i="52"/>
  <c r="BP101" i="52"/>
  <c r="BP98" i="52"/>
  <c r="BP13" i="52"/>
  <c r="BP45" i="52"/>
  <c r="BP9" i="52"/>
  <c r="BP165" i="52"/>
  <c r="BP10" i="52"/>
  <c r="BP138" i="52"/>
  <c r="BP102" i="52"/>
  <c r="BP47" i="52"/>
  <c r="BP70" i="52"/>
  <c r="BP161" i="52"/>
  <c r="BP158" i="52"/>
  <c r="BP127" i="52"/>
  <c r="BP97" i="52"/>
  <c r="BP39" i="52"/>
  <c r="BP73" i="53"/>
  <c r="N93" i="95"/>
  <c r="O93" i="95" s="1"/>
  <c r="BP137" i="58"/>
  <c r="BR162" i="55"/>
  <c r="BR45" i="55"/>
  <c r="BR98" i="55"/>
  <c r="BR67" i="55"/>
  <c r="BR77" i="55"/>
  <c r="BR108" i="55"/>
  <c r="BR78" i="55"/>
  <c r="M25" i="102"/>
  <c r="BR41" i="55"/>
  <c r="BU17" i="55"/>
  <c r="BV17" i="55" s="1"/>
  <c r="BU163" i="52"/>
  <c r="BV163" i="52" s="1"/>
  <c r="BU136" i="58"/>
  <c r="BU72" i="58"/>
  <c r="BU101" i="58"/>
  <c r="BU158" i="58"/>
  <c r="BU106" i="58"/>
  <c r="BU138" i="58"/>
  <c r="BU47" i="58"/>
  <c r="BU38" i="58"/>
  <c r="BU18" i="58"/>
  <c r="BU164" i="58"/>
  <c r="BU7" i="58"/>
  <c r="BU168" i="58"/>
  <c r="BU167" i="58"/>
  <c r="BU37" i="58"/>
  <c r="BU127" i="58"/>
  <c r="BU16" i="58"/>
  <c r="BU9" i="58"/>
  <c r="BU67" i="58"/>
  <c r="BU76" i="58"/>
  <c r="BU129" i="58"/>
  <c r="BU46" i="58"/>
  <c r="BU97" i="58"/>
  <c r="BU99" i="58"/>
  <c r="BU128" i="58"/>
  <c r="BU135" i="58"/>
  <c r="BU100" i="58"/>
  <c r="BU68" i="58"/>
  <c r="BU10" i="58"/>
  <c r="BU78" i="58"/>
  <c r="BU98" i="58"/>
  <c r="BU41" i="58"/>
  <c r="BU162" i="58"/>
  <c r="BU105" i="58"/>
  <c r="BU15" i="58"/>
  <c r="BF170" i="52"/>
  <c r="N46" i="97"/>
  <c r="O46" i="97" s="1"/>
  <c r="N70" i="97"/>
  <c r="O70" i="97" s="1"/>
  <c r="N48" i="97"/>
  <c r="O48" i="97" s="1"/>
  <c r="N56" i="97"/>
  <c r="O56" i="97" s="1"/>
  <c r="N52" i="97"/>
  <c r="O52" i="97" s="1"/>
  <c r="N85" i="97"/>
  <c r="O85" i="97" s="1"/>
  <c r="N94" i="97"/>
  <c r="O94" i="97" s="1"/>
  <c r="N59" i="97"/>
  <c r="O59" i="97" s="1"/>
  <c r="N87" i="97"/>
  <c r="O87" i="97" s="1"/>
  <c r="N71" i="97"/>
  <c r="O71" i="97" s="1"/>
  <c r="N61" i="97"/>
  <c r="O61" i="97" s="1"/>
  <c r="N102" i="97"/>
  <c r="O102" i="97" s="1"/>
  <c r="N89" i="97"/>
  <c r="O89" i="97" s="1"/>
  <c r="N86" i="97"/>
  <c r="O86" i="97" s="1"/>
  <c r="N63" i="97"/>
  <c r="O63" i="97" s="1"/>
  <c r="N53" i="97"/>
  <c r="O53" i="97" s="1"/>
  <c r="N91" i="97"/>
  <c r="O91" i="97" s="1"/>
  <c r="N84" i="97"/>
  <c r="O84" i="97" s="1"/>
  <c r="N66" i="97"/>
  <c r="O66" i="97" s="1"/>
  <c r="N82" i="97"/>
  <c r="O82" i="97" s="1"/>
  <c r="N50" i="97"/>
  <c r="O50" i="97" s="1"/>
  <c r="N72" i="97"/>
  <c r="O72" i="97" s="1"/>
  <c r="N74" i="97"/>
  <c r="O74" i="97" s="1"/>
  <c r="N101" i="97"/>
  <c r="O101" i="97" s="1"/>
  <c r="N55" i="97"/>
  <c r="O55" i="97" s="1"/>
  <c r="N57" i="97"/>
  <c r="O57" i="97" s="1"/>
  <c r="N103" i="97"/>
  <c r="O103" i="97" s="1"/>
  <c r="N100" i="97"/>
  <c r="O100" i="97" s="1"/>
  <c r="N68" i="97"/>
  <c r="O68" i="97" s="1"/>
  <c r="N95" i="97"/>
  <c r="O95" i="97" s="1"/>
  <c r="N51" i="97"/>
  <c r="O51" i="97" s="1"/>
  <c r="N98" i="97"/>
  <c r="O98" i="97" s="1"/>
  <c r="N90" i="97"/>
  <c r="O90" i="97" s="1"/>
  <c r="N78" i="97"/>
  <c r="O78" i="97" s="1"/>
  <c r="N58" i="97"/>
  <c r="O58" i="97" s="1"/>
  <c r="N47" i="97"/>
  <c r="O47" i="97" s="1"/>
  <c r="N92" i="97"/>
  <c r="O92" i="97" s="1"/>
  <c r="N64" i="97"/>
  <c r="O64" i="97" s="1"/>
  <c r="N49" i="97"/>
  <c r="O49" i="97" s="1"/>
  <c r="N65" i="97"/>
  <c r="O65" i="97" s="1"/>
  <c r="N81" i="97"/>
  <c r="O81" i="97" s="1"/>
  <c r="N96" i="97"/>
  <c r="O96" i="97" s="1"/>
  <c r="N97" i="97"/>
  <c r="O97" i="97" s="1"/>
  <c r="N77" i="97"/>
  <c r="O77" i="97" s="1"/>
  <c r="N73" i="97"/>
  <c r="O73" i="97" s="1"/>
  <c r="N93" i="97"/>
  <c r="O93" i="97" s="1"/>
  <c r="N80" i="97"/>
  <c r="O80" i="97" s="1"/>
  <c r="M35" i="100"/>
  <c r="O35" i="95"/>
  <c r="M75" i="99"/>
  <c r="M80" i="99"/>
  <c r="M49" i="99"/>
  <c r="M74" i="99"/>
  <c r="M88" i="99"/>
  <c r="M59" i="99"/>
  <c r="M94" i="99"/>
  <c r="M85" i="99"/>
  <c r="M51" i="99"/>
  <c r="M48" i="99"/>
  <c r="M70" i="99"/>
  <c r="M55" i="99"/>
  <c r="M64" i="99"/>
  <c r="M102" i="99"/>
  <c r="M87" i="99"/>
  <c r="M96" i="99"/>
  <c r="M68" i="99"/>
  <c r="D118" i="55"/>
  <c r="V106" i="55"/>
  <c r="E106" i="55" s="1"/>
  <c r="N79" i="97"/>
  <c r="O79" i="97" s="1"/>
  <c r="BP102" i="58"/>
  <c r="N40" i="102"/>
  <c r="O40" i="101"/>
  <c r="BR128" i="55"/>
  <c r="BR135" i="55"/>
  <c r="BR17" i="55"/>
  <c r="BR99" i="55"/>
  <c r="BR160" i="55"/>
  <c r="BR9" i="55"/>
  <c r="BR14" i="55"/>
  <c r="BR73" i="55"/>
  <c r="BR102" i="55"/>
  <c r="BR161" i="55"/>
  <c r="O2" i="88"/>
  <c r="N2" i="100"/>
  <c r="BP8" i="57"/>
  <c r="BP72" i="57"/>
  <c r="BP42" i="57"/>
  <c r="BP163" i="57"/>
  <c r="BP105" i="57"/>
  <c r="BP9" i="57"/>
  <c r="BP160" i="57"/>
  <c r="BP161" i="57"/>
  <c r="BP164" i="57"/>
  <c r="BP73" i="57"/>
  <c r="BP106" i="57"/>
  <c r="BP11" i="57"/>
  <c r="BP157" i="57"/>
  <c r="BP168" i="57"/>
  <c r="BP127" i="57"/>
  <c r="BP132" i="57"/>
  <c r="BP99" i="57"/>
  <c r="BP14" i="57"/>
  <c r="BP13" i="57"/>
  <c r="BP133" i="57"/>
  <c r="BP74" i="57"/>
  <c r="BP76" i="57"/>
  <c r="BP131" i="57"/>
  <c r="BP77" i="57"/>
  <c r="BP166" i="57"/>
  <c r="BP71" i="57"/>
  <c r="BP39" i="57"/>
  <c r="BP103" i="57"/>
  <c r="BP165" i="57"/>
  <c r="BP17" i="57"/>
  <c r="BP44" i="57"/>
  <c r="BP48" i="57"/>
  <c r="BP70" i="57"/>
  <c r="BP69" i="57"/>
  <c r="BP167" i="57"/>
  <c r="BP18" i="57"/>
  <c r="BP10" i="57"/>
  <c r="BP37" i="57"/>
  <c r="BP138" i="57"/>
  <c r="BP45" i="57"/>
  <c r="BP162" i="57"/>
  <c r="BP97" i="57"/>
  <c r="BP137" i="57"/>
  <c r="BP107" i="57"/>
  <c r="BP75" i="57"/>
  <c r="BP40" i="57"/>
  <c r="BP159" i="57"/>
  <c r="BP101" i="57"/>
  <c r="BP135" i="57"/>
  <c r="BP104" i="57"/>
  <c r="BP102" i="57"/>
  <c r="BP100" i="57"/>
  <c r="BP98" i="57"/>
  <c r="BP47" i="57"/>
  <c r="BP108" i="57"/>
  <c r="BP136" i="57"/>
  <c r="BP130" i="57"/>
  <c r="BP128" i="57"/>
  <c r="BP67" i="57"/>
  <c r="BP15" i="57"/>
  <c r="BP12" i="57"/>
  <c r="BP46" i="57"/>
  <c r="BP129" i="57"/>
  <c r="BP78" i="57"/>
  <c r="BP41" i="57"/>
  <c r="BR41" i="57" s="1"/>
  <c r="BP7" i="57"/>
  <c r="BP68" i="57"/>
  <c r="BP43" i="57"/>
  <c r="BP134" i="57"/>
  <c r="BP16" i="57"/>
  <c r="BP38" i="57"/>
  <c r="N90" i="99"/>
  <c r="O90" i="99" s="1"/>
  <c r="N103" i="99"/>
  <c r="O103" i="99" s="1"/>
  <c r="N59" i="99"/>
  <c r="O59" i="99" s="1"/>
  <c r="N77" i="99"/>
  <c r="O77" i="99" s="1"/>
  <c r="N53" i="99"/>
  <c r="O53" i="99" s="1"/>
  <c r="N76" i="99"/>
  <c r="O76" i="99" s="1"/>
  <c r="N58" i="99"/>
  <c r="O58" i="99" s="1"/>
  <c r="N78" i="99"/>
  <c r="O78" i="99" s="1"/>
  <c r="N56" i="99"/>
  <c r="O56" i="99" s="1"/>
  <c r="N92" i="99"/>
  <c r="O92" i="99" s="1"/>
  <c r="N50" i="99"/>
  <c r="O50" i="99" s="1"/>
  <c r="N91" i="99"/>
  <c r="O91" i="99" s="1"/>
  <c r="N57" i="99"/>
  <c r="O57" i="99" s="1"/>
  <c r="N79" i="99"/>
  <c r="O79" i="99" s="1"/>
  <c r="N86" i="99"/>
  <c r="O86" i="99" s="1"/>
  <c r="N62" i="99"/>
  <c r="O62" i="99" s="1"/>
  <c r="N73" i="99"/>
  <c r="O73" i="99" s="1"/>
  <c r="N47" i="99"/>
  <c r="O47" i="99" s="1"/>
  <c r="N89" i="99"/>
  <c r="O89" i="99" s="1"/>
  <c r="N67" i="99"/>
  <c r="O67" i="99" s="1"/>
  <c r="N66" i="99"/>
  <c r="O66" i="99" s="1"/>
  <c r="N94" i="99"/>
  <c r="O94" i="99" s="1"/>
  <c r="N95" i="99"/>
  <c r="O95" i="99" s="1"/>
  <c r="N49" i="99"/>
  <c r="O49" i="99" s="1"/>
  <c r="N71" i="99"/>
  <c r="O71" i="99" s="1"/>
  <c r="N98" i="99"/>
  <c r="O98" i="99" s="1"/>
  <c r="N81" i="99"/>
  <c r="O81" i="99" s="1"/>
  <c r="N63" i="99"/>
  <c r="O63" i="99" s="1"/>
  <c r="N93" i="99"/>
  <c r="O93" i="99" s="1"/>
  <c r="N83" i="99"/>
  <c r="O83" i="99" s="1"/>
  <c r="N69" i="99"/>
  <c r="O69" i="99" s="1"/>
  <c r="N75" i="99"/>
  <c r="O75" i="99" s="1"/>
  <c r="N60" i="99"/>
  <c r="O60" i="99" s="1"/>
  <c r="N61" i="99"/>
  <c r="O61" i="99" s="1"/>
  <c r="N65" i="99"/>
  <c r="O65" i="99" s="1"/>
  <c r="N74" i="99"/>
  <c r="O74" i="99" s="1"/>
  <c r="N84" i="99"/>
  <c r="O84" i="99" s="1"/>
  <c r="N100" i="99"/>
  <c r="O100" i="99" s="1"/>
  <c r="N101" i="99"/>
  <c r="O101" i="99" s="1"/>
  <c r="N46" i="99"/>
  <c r="O46" i="99" s="1"/>
  <c r="N85" i="99"/>
  <c r="O85" i="99" s="1"/>
  <c r="N82" i="99"/>
  <c r="O82" i="99" s="1"/>
  <c r="N96" i="99"/>
  <c r="O96" i="99" s="1"/>
  <c r="N51" i="99"/>
  <c r="O51" i="99" s="1"/>
  <c r="N70" i="99"/>
  <c r="O70" i="99" s="1"/>
  <c r="N48" i="99"/>
  <c r="O48" i="99" s="1"/>
  <c r="N102" i="99"/>
  <c r="O102" i="99" s="1"/>
  <c r="N55" i="99"/>
  <c r="O55" i="99" s="1"/>
  <c r="N87" i="99"/>
  <c r="O87" i="99" s="1"/>
  <c r="N64" i="99"/>
  <c r="O64" i="99" s="1"/>
  <c r="N68" i="99"/>
  <c r="O68" i="99" s="1"/>
  <c r="N19" i="100"/>
  <c r="O19" i="88"/>
  <c r="M73" i="88"/>
  <c r="M104" i="88"/>
  <c r="M97" i="88"/>
  <c r="M86" i="88"/>
  <c r="M99" i="88"/>
  <c r="M96" i="88"/>
  <c r="M77" i="88"/>
  <c r="M58" i="88"/>
  <c r="M89" i="88"/>
  <c r="M102" i="88"/>
  <c r="M103" i="88"/>
  <c r="M53" i="88"/>
  <c r="M59" i="88"/>
  <c r="M66" i="88"/>
  <c r="M51" i="88"/>
  <c r="M62" i="88"/>
  <c r="M50" i="88"/>
  <c r="M56" i="88"/>
  <c r="M46" i="88"/>
  <c r="M60" i="88"/>
  <c r="M72" i="88"/>
  <c r="M78" i="88"/>
  <c r="M85" i="88"/>
  <c r="M94" i="88"/>
  <c r="M88" i="88"/>
  <c r="M71" i="88"/>
  <c r="M64" i="88"/>
  <c r="M63" i="88"/>
  <c r="M61" i="88"/>
  <c r="M91" i="88"/>
  <c r="M52" i="88"/>
  <c r="M92" i="88"/>
  <c r="M70" i="88"/>
  <c r="M87" i="88"/>
  <c r="M100" i="88"/>
  <c r="M95" i="88"/>
  <c r="M81" i="88"/>
  <c r="M65" i="88"/>
  <c r="M84" i="88"/>
  <c r="M69" i="88"/>
  <c r="M101" i="88"/>
  <c r="M67" i="88"/>
  <c r="M48" i="88"/>
  <c r="M68" i="88"/>
  <c r="M93" i="88"/>
  <c r="M83" i="88"/>
  <c r="M90" i="88"/>
  <c r="M80" i="88"/>
  <c r="M57" i="88"/>
  <c r="M75" i="88"/>
  <c r="M47" i="88"/>
  <c r="M74" i="88"/>
  <c r="M79" i="88"/>
  <c r="M76" i="88"/>
  <c r="M98" i="88"/>
  <c r="M54" i="88"/>
  <c r="M82" i="88"/>
  <c r="M83" i="99"/>
  <c r="J167" i="84"/>
  <c r="J168" i="84" s="1"/>
  <c r="G149" i="84"/>
  <c r="F167" i="84"/>
  <c r="F168" i="84" s="1"/>
  <c r="K149" i="84"/>
  <c r="M149" i="84"/>
  <c r="O41" i="95"/>
  <c r="BR132" i="55"/>
  <c r="O7" i="100"/>
  <c r="N7" i="101"/>
  <c r="BR103" i="55"/>
  <c r="BR15" i="55"/>
  <c r="BR137" i="55"/>
  <c r="BR70" i="55"/>
  <c r="AD97" i="52"/>
  <c r="M97" i="52" s="1"/>
  <c r="N90" i="88"/>
  <c r="O90" i="88" s="1"/>
  <c r="N101" i="88"/>
  <c r="O101" i="88" s="1"/>
  <c r="N72" i="88"/>
  <c r="O72" i="88" s="1"/>
  <c r="N52" i="88"/>
  <c r="O52" i="88" s="1"/>
  <c r="N81" i="88"/>
  <c r="O81" i="88" s="1"/>
  <c r="N78" i="88"/>
  <c r="O78" i="88" s="1"/>
  <c r="N98" i="88"/>
  <c r="O98" i="88" s="1"/>
  <c r="N77" i="88"/>
  <c r="O77" i="88" s="1"/>
  <c r="N97" i="88"/>
  <c r="O97" i="88" s="1"/>
  <c r="N103" i="88"/>
  <c r="O103" i="88" s="1"/>
  <c r="N83" i="88"/>
  <c r="O83" i="88" s="1"/>
  <c r="N89" i="88"/>
  <c r="O89" i="88" s="1"/>
  <c r="N86" i="88"/>
  <c r="O86" i="88" s="1"/>
  <c r="N93" i="88"/>
  <c r="O93" i="88" s="1"/>
  <c r="N76" i="88"/>
  <c r="O76" i="88" s="1"/>
  <c r="N54" i="88"/>
  <c r="O54" i="88" s="1"/>
  <c r="N100" i="88"/>
  <c r="O100" i="88" s="1"/>
  <c r="N91" i="88"/>
  <c r="O91" i="88" s="1"/>
  <c r="N60" i="88"/>
  <c r="O60" i="88" s="1"/>
  <c r="N66" i="88"/>
  <c r="O66" i="88" s="1"/>
  <c r="N48" i="88"/>
  <c r="O48" i="88" s="1"/>
  <c r="N102" i="88"/>
  <c r="O102" i="88" s="1"/>
  <c r="N73" i="88"/>
  <c r="O73" i="88" s="1"/>
  <c r="N80" i="88"/>
  <c r="O80" i="88" s="1"/>
  <c r="N70" i="88"/>
  <c r="O70" i="88" s="1"/>
  <c r="N69" i="88"/>
  <c r="O69" i="88" s="1"/>
  <c r="N67" i="88"/>
  <c r="O67" i="88" s="1"/>
  <c r="N65" i="88"/>
  <c r="O65" i="88" s="1"/>
  <c r="N74" i="88"/>
  <c r="O74" i="88" s="1"/>
  <c r="N92" i="88"/>
  <c r="O92" i="88" s="1"/>
  <c r="N99" i="88"/>
  <c r="O99" i="88" s="1"/>
  <c r="N62" i="88"/>
  <c r="O62" i="88" s="1"/>
  <c r="N68" i="88"/>
  <c r="O68" i="88" s="1"/>
  <c r="N46" i="88"/>
  <c r="N95" i="88"/>
  <c r="O95" i="88" s="1"/>
  <c r="N57" i="88"/>
  <c r="O57" i="88" s="1"/>
  <c r="N61" i="88"/>
  <c r="O61" i="88" s="1"/>
  <c r="N75" i="88"/>
  <c r="O75" i="88" s="1"/>
  <c r="N79" i="88"/>
  <c r="O79" i="88" s="1"/>
  <c r="N71" i="88"/>
  <c r="O71" i="88" s="1"/>
  <c r="N94" i="88"/>
  <c r="O94" i="88" s="1"/>
  <c r="N55" i="88"/>
  <c r="O55" i="88" s="1"/>
  <c r="N85" i="88"/>
  <c r="O85" i="88" s="1"/>
  <c r="N50" i="88"/>
  <c r="O50" i="88" s="1"/>
  <c r="N51" i="88"/>
  <c r="O51" i="88" s="1"/>
  <c r="N84" i="88"/>
  <c r="O84" i="88" s="1"/>
  <c r="N59" i="88"/>
  <c r="O59" i="88" s="1"/>
  <c r="N104" i="88"/>
  <c r="O104" i="88" s="1"/>
  <c r="N87" i="88"/>
  <c r="O87" i="88" s="1"/>
  <c r="N64" i="88"/>
  <c r="O64" i="88" s="1"/>
  <c r="N82" i="88"/>
  <c r="O82" i="88" s="1"/>
  <c r="N58" i="88"/>
  <c r="O58" i="88" s="1"/>
  <c r="N63" i="88"/>
  <c r="O63" i="88" s="1"/>
  <c r="N49" i="88"/>
  <c r="O49" i="88" s="1"/>
  <c r="N96" i="88"/>
  <c r="O96" i="88" s="1"/>
  <c r="N53" i="88"/>
  <c r="O53" i="88" s="1"/>
  <c r="N88" i="88"/>
  <c r="O88" i="88" s="1"/>
  <c r="N56" i="88"/>
  <c r="O56" i="88" s="1"/>
  <c r="N47" i="88"/>
  <c r="O47" i="88" s="1"/>
  <c r="BP103" i="53"/>
  <c r="M58" i="98"/>
  <c r="M96" i="98"/>
  <c r="M97" i="98"/>
  <c r="M72" i="98"/>
  <c r="M76" i="98"/>
  <c r="M98" i="98"/>
  <c r="M50" i="98"/>
  <c r="M78" i="98"/>
  <c r="M87" i="98"/>
  <c r="M56" i="98"/>
  <c r="M95" i="98"/>
  <c r="M91" i="98"/>
  <c r="M46" i="98"/>
  <c r="M104" i="98"/>
  <c r="M64" i="98"/>
  <c r="M93" i="98"/>
  <c r="M92" i="98"/>
  <c r="M61" i="98"/>
  <c r="M77" i="98"/>
  <c r="M52" i="98"/>
  <c r="BP133" i="52"/>
  <c r="M84" i="98"/>
  <c r="M70" i="98"/>
  <c r="M49" i="98"/>
  <c r="BR40" i="55"/>
  <c r="M41" i="101"/>
  <c r="BR107" i="55"/>
  <c r="BR164" i="55"/>
  <c r="BR163" i="55"/>
  <c r="BU40" i="55"/>
  <c r="BV40" i="55" s="1"/>
  <c r="AC119" i="59"/>
  <c r="V100" i="55"/>
  <c r="E100" i="55" s="1"/>
  <c r="O5" i="88"/>
  <c r="N5" i="100"/>
  <c r="BB140" i="52"/>
  <c r="N139" i="52"/>
  <c r="BU137" i="58"/>
  <c r="X154" i="57"/>
  <c r="G149" i="85"/>
  <c r="CD10" i="16"/>
  <c r="BP163" i="58"/>
  <c r="BR7" i="55"/>
  <c r="N18" i="63" s="1"/>
  <c r="C18" i="63" s="1"/>
  <c r="H18" i="63" s="1"/>
  <c r="BR74" i="55"/>
  <c r="BR68" i="55"/>
  <c r="BR130" i="55"/>
  <c r="BU46" i="55"/>
  <c r="BV46" i="55" s="1"/>
  <c r="N79" i="52"/>
  <c r="BB80" i="52"/>
  <c r="M51" i="98"/>
  <c r="X94" i="57"/>
  <c r="G91" i="85"/>
  <c r="BR131" i="55"/>
  <c r="O6" i="101"/>
  <c r="BR158" i="55"/>
  <c r="N39" i="103"/>
  <c r="O39" i="102"/>
  <c r="BR167" i="55"/>
  <c r="BR168" i="55"/>
  <c r="BR127" i="55"/>
  <c r="BU168" i="55"/>
  <c r="BV168" i="55" s="1"/>
  <c r="O12" i="101"/>
  <c r="M14" i="100"/>
  <c r="O14" i="95"/>
  <c r="BR158" i="57"/>
  <c r="BP13" i="59"/>
  <c r="BR42" i="59" s="1"/>
  <c r="BP108" i="59"/>
  <c r="BP106" i="59"/>
  <c r="BP18" i="59"/>
  <c r="N68" i="95"/>
  <c r="O68" i="95" s="1"/>
  <c r="N74" i="95"/>
  <c r="O74" i="95" s="1"/>
  <c r="N85" i="95"/>
  <c r="O85" i="95" s="1"/>
  <c r="N99" i="95"/>
  <c r="O99" i="95" s="1"/>
  <c r="N89" i="95"/>
  <c r="O89" i="95" s="1"/>
  <c r="N62" i="95"/>
  <c r="O62" i="95" s="1"/>
  <c r="N67" i="95"/>
  <c r="O67" i="95" s="1"/>
  <c r="N98" i="95"/>
  <c r="O98" i="95" s="1"/>
  <c r="N56" i="95"/>
  <c r="O56" i="95" s="1"/>
  <c r="N64" i="95"/>
  <c r="O64" i="95" s="1"/>
  <c r="N103" i="95"/>
  <c r="O103" i="95" s="1"/>
  <c r="N73" i="95"/>
  <c r="O73" i="95" s="1"/>
  <c r="N95" i="95"/>
  <c r="O95" i="95" s="1"/>
  <c r="N82" i="95"/>
  <c r="O82" i="95" s="1"/>
  <c r="N48" i="95"/>
  <c r="O48" i="95" s="1"/>
  <c r="N101" i="95"/>
  <c r="O101" i="95" s="1"/>
  <c r="N60" i="95"/>
  <c r="O60" i="95" s="1"/>
  <c r="N66" i="95"/>
  <c r="O66" i="95" s="1"/>
  <c r="N52" i="95"/>
  <c r="O52" i="95" s="1"/>
  <c r="N97" i="95"/>
  <c r="O97" i="95" s="1"/>
  <c r="N59" i="95"/>
  <c r="O59" i="95" s="1"/>
  <c r="N104" i="95"/>
  <c r="O104" i="95" s="1"/>
  <c r="N78" i="95"/>
  <c r="O78" i="95" s="1"/>
  <c r="N58" i="95"/>
  <c r="O58" i="95" s="1"/>
  <c r="N81" i="95"/>
  <c r="O81" i="95" s="1"/>
  <c r="N70" i="95"/>
  <c r="O70" i="95" s="1"/>
  <c r="N102" i="95"/>
  <c r="O102" i="95" s="1"/>
  <c r="N49" i="95"/>
  <c r="O49" i="95" s="1"/>
  <c r="N75" i="95"/>
  <c r="O75" i="95" s="1"/>
  <c r="N76" i="95"/>
  <c r="O76" i="95" s="1"/>
  <c r="N50" i="95"/>
  <c r="O50" i="95" s="1"/>
  <c r="N61" i="95"/>
  <c r="O61" i="95" s="1"/>
  <c r="N63" i="95"/>
  <c r="O63" i="95" s="1"/>
  <c r="N77" i="95"/>
  <c r="O77" i="95" s="1"/>
  <c r="N53" i="95"/>
  <c r="O53" i="95" s="1"/>
  <c r="N47" i="95"/>
  <c r="O47" i="95" s="1"/>
  <c r="N51" i="95"/>
  <c r="O51" i="95" s="1"/>
  <c r="N46" i="95"/>
  <c r="O46" i="95" s="1"/>
  <c r="N90" i="95"/>
  <c r="O90" i="95" s="1"/>
  <c r="N79" i="95"/>
  <c r="O79" i="95" s="1"/>
  <c r="N57" i="95"/>
  <c r="O57" i="95" s="1"/>
  <c r="N92" i="95"/>
  <c r="O92" i="95" s="1"/>
  <c r="N69" i="95"/>
  <c r="O69" i="95" s="1"/>
  <c r="N87" i="95"/>
  <c r="O87" i="95" s="1"/>
  <c r="N72" i="95"/>
  <c r="O72" i="95" s="1"/>
  <c r="N80" i="95"/>
  <c r="O80" i="95" s="1"/>
  <c r="N94" i="95"/>
  <c r="O94" i="95" s="1"/>
  <c r="N100" i="95"/>
  <c r="O100" i="95" s="1"/>
  <c r="N96" i="95"/>
  <c r="O96" i="95" s="1"/>
  <c r="N83" i="95"/>
  <c r="O83" i="95" s="1"/>
  <c r="N65" i="95"/>
  <c r="O65" i="95" s="1"/>
  <c r="N54" i="95"/>
  <c r="O54" i="95" s="1"/>
  <c r="N86" i="95"/>
  <c r="O86" i="95" s="1"/>
  <c r="N88" i="95"/>
  <c r="O88" i="95" s="1"/>
  <c r="N91" i="95"/>
  <c r="O91" i="95" s="1"/>
  <c r="N55" i="95"/>
  <c r="O55" i="95" s="1"/>
  <c r="N84" i="95"/>
  <c r="O84" i="95" s="1"/>
  <c r="BP166" i="52"/>
  <c r="BR166" i="52" s="1"/>
  <c r="BP100" i="53"/>
  <c r="BP132" i="58"/>
  <c r="AB94" i="57"/>
  <c r="K91" i="85"/>
  <c r="BX11" i="16"/>
  <c r="BP76" i="58"/>
  <c r="BR97" i="55"/>
  <c r="BR106" i="55"/>
  <c r="BR101" i="55"/>
  <c r="BR69" i="55"/>
  <c r="BR104" i="55"/>
  <c r="BR157" i="55"/>
  <c r="BR136" i="55"/>
  <c r="BR44" i="55"/>
  <c r="BU72" i="52"/>
  <c r="BV72" i="52" s="1"/>
  <c r="BU9" i="55"/>
  <c r="BV9" i="55" s="1"/>
  <c r="BP98" i="53"/>
  <c r="BP167" i="53"/>
  <c r="BP71" i="53"/>
  <c r="BP107" i="53"/>
  <c r="BP162" i="53"/>
  <c r="BP43" i="53"/>
  <c r="BP168" i="53"/>
  <c r="BP74" i="53"/>
  <c r="BP40" i="53"/>
  <c r="BP38" i="53"/>
  <c r="BP97" i="53"/>
  <c r="BP159" i="53"/>
  <c r="BP158" i="53"/>
  <c r="BP8" i="53"/>
  <c r="BP108" i="53"/>
  <c r="BP37" i="53"/>
  <c r="BP101" i="53"/>
  <c r="BP160" i="53"/>
  <c r="BP136" i="53"/>
  <c r="BP67" i="53"/>
  <c r="BP10" i="53"/>
  <c r="BP68" i="53"/>
  <c r="BP132" i="53"/>
  <c r="BP17" i="53"/>
  <c r="BP70" i="53"/>
  <c r="BP42" i="53"/>
  <c r="BP14" i="53"/>
  <c r="BP46" i="53"/>
  <c r="BP78" i="53"/>
  <c r="BP76" i="53"/>
  <c r="BP75" i="53"/>
  <c r="BP18" i="53"/>
  <c r="BP164" i="53"/>
  <c r="BP48" i="53"/>
  <c r="BP138" i="53"/>
  <c r="BP11" i="53"/>
  <c r="BP102" i="53"/>
  <c r="BP15" i="53"/>
  <c r="BP137" i="53"/>
  <c r="BP45" i="53"/>
  <c r="BP9" i="53"/>
  <c r="BP131" i="53"/>
  <c r="BP39" i="53"/>
  <c r="BP7" i="53"/>
  <c r="BP41" i="53"/>
  <c r="BP166" i="53"/>
  <c r="BP99" i="53"/>
  <c r="BP161" i="53"/>
  <c r="BP104" i="53"/>
  <c r="BP130" i="53"/>
  <c r="BP16" i="53"/>
  <c r="BP128" i="53"/>
  <c r="BP106" i="53"/>
  <c r="BP134" i="53"/>
  <c r="BP129" i="53"/>
  <c r="BP47" i="53"/>
  <c r="BP72" i="53"/>
  <c r="BP13" i="53"/>
  <c r="BP165" i="53"/>
  <c r="BP105" i="53"/>
  <c r="BP135" i="53"/>
  <c r="BP12" i="53"/>
  <c r="BP127" i="53"/>
  <c r="BP157" i="53"/>
  <c r="BP163" i="53"/>
  <c r="BP44" i="53"/>
  <c r="BR44" i="53" s="1"/>
  <c r="BP69" i="53"/>
  <c r="BP133" i="53"/>
  <c r="H88" i="52"/>
  <c r="Z76" i="52"/>
  <c r="I76" i="52" s="1"/>
  <c r="BP77" i="53"/>
  <c r="X124" i="57"/>
  <c r="CD9" i="16"/>
  <c r="G120" i="85"/>
  <c r="M38" i="103"/>
  <c r="O38" i="102"/>
  <c r="BR105" i="55"/>
  <c r="O34" i="101"/>
  <c r="N34" i="102"/>
  <c r="BR138" i="55"/>
  <c r="X73" i="55"/>
  <c r="G73" i="55" s="1"/>
  <c r="X49" i="53"/>
  <c r="G49" i="53" s="1"/>
  <c r="AD97" i="55"/>
  <c r="M97" i="55" s="1"/>
  <c r="AD136" i="58"/>
  <c r="M136" i="58" s="1"/>
  <c r="X10" i="57"/>
  <c r="G10" i="57" s="1"/>
  <c r="AB166" i="53"/>
  <c r="K166" i="53" s="1"/>
  <c r="J146" i="57"/>
  <c r="Z163" i="55"/>
  <c r="AD170" i="57"/>
  <c r="M170" i="57" s="1"/>
  <c r="AA179" i="59"/>
  <c r="Y59" i="53"/>
  <c r="V7" i="59"/>
  <c r="J25" i="53"/>
  <c r="Z109" i="57"/>
  <c r="I109" i="57" s="1"/>
  <c r="Y179" i="55"/>
  <c r="H179" i="55" s="1"/>
  <c r="AB70" i="55"/>
  <c r="X67" i="55"/>
  <c r="G67" i="55" s="1"/>
  <c r="V40" i="57"/>
  <c r="E40" i="57" s="1"/>
  <c r="H178" i="55"/>
  <c r="J26" i="55"/>
  <c r="W29" i="58"/>
  <c r="X19" i="58" s="1"/>
  <c r="AD40" i="53"/>
  <c r="M40" i="53" s="1"/>
  <c r="D25" i="52"/>
  <c r="H117" i="58"/>
  <c r="AB73" i="55"/>
  <c r="K73" i="55" s="1"/>
  <c r="AB43" i="59"/>
  <c r="K43" i="59" s="1"/>
  <c r="X76" i="58"/>
  <c r="G76" i="58" s="1"/>
  <c r="AB13" i="58"/>
  <c r="K13" i="58" s="1"/>
  <c r="H27" i="55"/>
  <c r="W89" i="57"/>
  <c r="J27" i="58"/>
  <c r="X67" i="57"/>
  <c r="AD166" i="55"/>
  <c r="M166" i="55" s="1"/>
  <c r="Z136" i="59"/>
  <c r="J85" i="59"/>
  <c r="X73" i="57"/>
  <c r="AD10" i="55"/>
  <c r="M10" i="55" s="1"/>
  <c r="AA59" i="58"/>
  <c r="J59" i="58" s="1"/>
  <c r="AC149" i="53"/>
  <c r="L149" i="53" s="1"/>
  <c r="AB46" i="53"/>
  <c r="V40" i="53"/>
  <c r="D88" i="55"/>
  <c r="X76" i="55"/>
  <c r="G76" i="55" s="1"/>
  <c r="Z127" i="59"/>
  <c r="I127" i="59" s="1"/>
  <c r="D57" i="55"/>
  <c r="H58" i="59"/>
  <c r="X13" i="58"/>
  <c r="G13" i="58" s="1"/>
  <c r="U89" i="55"/>
  <c r="AA179" i="57"/>
  <c r="U59" i="58"/>
  <c r="V49" i="58" s="1"/>
  <c r="D115" i="57"/>
  <c r="AA89" i="58"/>
  <c r="J89" i="58" s="1"/>
  <c r="AB70" i="58"/>
  <c r="K70" i="58" s="1"/>
  <c r="L116" i="59"/>
  <c r="D26" i="52"/>
  <c r="V127" i="55"/>
  <c r="V163" i="59"/>
  <c r="X170" i="55"/>
  <c r="G170" i="55" s="1"/>
  <c r="AC179" i="53"/>
  <c r="AD169" i="53" s="1"/>
  <c r="AC119" i="55"/>
  <c r="AA149" i="57"/>
  <c r="J149" i="57" s="1"/>
  <c r="D175" i="55"/>
  <c r="X166" i="53"/>
  <c r="G166" i="53" s="1"/>
  <c r="F147" i="55"/>
  <c r="AC179" i="58"/>
  <c r="AD169" i="58" s="1"/>
  <c r="AA59" i="53"/>
  <c r="W149" i="55"/>
  <c r="X139" i="55" s="1"/>
  <c r="AA89" i="55"/>
  <c r="H86" i="53"/>
  <c r="X67" i="58"/>
  <c r="G67" i="58" s="1"/>
  <c r="Y149" i="55"/>
  <c r="Z139" i="55" s="1"/>
  <c r="I139" i="55" s="1"/>
  <c r="X109" i="58"/>
  <c r="X110" i="58" s="1"/>
  <c r="G110" i="58" s="1"/>
  <c r="J177" i="57"/>
  <c r="V37" i="58"/>
  <c r="E37" i="58" s="1"/>
  <c r="AC29" i="55"/>
  <c r="AD19" i="55" s="1"/>
  <c r="AC149" i="55"/>
  <c r="J87" i="58"/>
  <c r="X7" i="55"/>
  <c r="G7" i="55" s="1"/>
  <c r="H58" i="57"/>
  <c r="AC29" i="57"/>
  <c r="Z106" i="55"/>
  <c r="I106" i="55" s="1"/>
  <c r="AD100" i="59"/>
  <c r="U179" i="55"/>
  <c r="D179" i="55" s="1"/>
  <c r="L27" i="55"/>
  <c r="L27" i="57"/>
  <c r="AB40" i="53"/>
  <c r="K40" i="53" s="1"/>
  <c r="U29" i="55"/>
  <c r="D29" i="55" s="1"/>
  <c r="L117" i="59"/>
  <c r="J119" i="52"/>
  <c r="AB109" i="52"/>
  <c r="F88" i="59"/>
  <c r="X76" i="59"/>
  <c r="G76" i="59" s="1"/>
  <c r="J118" i="53"/>
  <c r="L118" i="55"/>
  <c r="AB140" i="55"/>
  <c r="K140" i="55" s="1"/>
  <c r="V13" i="55"/>
  <c r="AA119" i="58"/>
  <c r="J119" i="58" s="1"/>
  <c r="J85" i="55"/>
  <c r="AB67" i="55"/>
  <c r="K67" i="55" s="1"/>
  <c r="Z110" i="57"/>
  <c r="I110" i="57" s="1"/>
  <c r="X76" i="52"/>
  <c r="G76" i="52" s="1"/>
  <c r="AD16" i="53"/>
  <c r="M16" i="53" s="1"/>
  <c r="L28" i="53"/>
  <c r="AD106" i="59"/>
  <c r="M106" i="59" s="1"/>
  <c r="L118" i="59"/>
  <c r="H147" i="59"/>
  <c r="Z133" i="59"/>
  <c r="I133" i="59" s="1"/>
  <c r="J26" i="57"/>
  <c r="AB10" i="57"/>
  <c r="K10" i="57" s="1"/>
  <c r="X70" i="55"/>
  <c r="G70" i="55" s="1"/>
  <c r="L176" i="58"/>
  <c r="W89" i="55"/>
  <c r="J28" i="57"/>
  <c r="AB16" i="57"/>
  <c r="K16" i="57" s="1"/>
  <c r="AD70" i="57"/>
  <c r="M70" i="57" s="1"/>
  <c r="L86" i="57"/>
  <c r="F87" i="58"/>
  <c r="J28" i="55"/>
  <c r="J176" i="59"/>
  <c r="AB160" i="59"/>
  <c r="K160" i="59" s="1"/>
  <c r="AA179" i="53"/>
  <c r="AB169" i="53" s="1"/>
  <c r="W89" i="53"/>
  <c r="AC119" i="52"/>
  <c r="L119" i="52" s="1"/>
  <c r="W29" i="55"/>
  <c r="F29" i="55" s="1"/>
  <c r="H25" i="53"/>
  <c r="AA29" i="55"/>
  <c r="U119" i="57"/>
  <c r="D119" i="57" s="1"/>
  <c r="L149" i="52"/>
  <c r="AD139" i="52"/>
  <c r="H146" i="59"/>
  <c r="Z130" i="59"/>
  <c r="I130" i="59" s="1"/>
  <c r="D148" i="57"/>
  <c r="V136" i="57"/>
  <c r="E136" i="57" s="1"/>
  <c r="H177" i="52"/>
  <c r="Z163" i="52"/>
  <c r="I163" i="52" s="1"/>
  <c r="F86" i="53"/>
  <c r="X70" i="53"/>
  <c r="G70" i="53" s="1"/>
  <c r="H28" i="57"/>
  <c r="Z16" i="57"/>
  <c r="I16" i="57" s="1"/>
  <c r="H87" i="53"/>
  <c r="Z73" i="53"/>
  <c r="I73" i="53" s="1"/>
  <c r="H28" i="59"/>
  <c r="Z16" i="59"/>
  <c r="I16" i="59" s="1"/>
  <c r="H26" i="52"/>
  <c r="Z10" i="52"/>
  <c r="I10" i="52" s="1"/>
  <c r="D58" i="55"/>
  <c r="V46" i="55"/>
  <c r="D177" i="58"/>
  <c r="V163" i="58"/>
  <c r="E163" i="58" s="1"/>
  <c r="J57" i="55"/>
  <c r="AB43" i="55"/>
  <c r="K43" i="55" s="1"/>
  <c r="X37" i="58"/>
  <c r="F55" i="58"/>
  <c r="W59" i="58"/>
  <c r="AD76" i="52"/>
  <c r="M76" i="52" s="1"/>
  <c r="L88" i="52"/>
  <c r="V160" i="59"/>
  <c r="E160" i="59" s="1"/>
  <c r="D176" i="59"/>
  <c r="AD43" i="57"/>
  <c r="M43" i="57" s="1"/>
  <c r="L57" i="57"/>
  <c r="D175" i="57"/>
  <c r="U179" i="57"/>
  <c r="V157" i="57"/>
  <c r="Z136" i="53"/>
  <c r="I136" i="53" s="1"/>
  <c r="H148" i="53"/>
  <c r="L146" i="53"/>
  <c r="AD130" i="53"/>
  <c r="M130" i="53" s="1"/>
  <c r="AD10" i="53"/>
  <c r="M10" i="53" s="1"/>
  <c r="L26" i="53"/>
  <c r="L148" i="53"/>
  <c r="AD136" i="53"/>
  <c r="M136" i="53" s="1"/>
  <c r="Z40" i="53"/>
  <c r="I40" i="53" s="1"/>
  <c r="H56" i="53"/>
  <c r="F148" i="53"/>
  <c r="X136" i="53"/>
  <c r="G136" i="53" s="1"/>
  <c r="X40" i="59"/>
  <c r="F56" i="59"/>
  <c r="Z10" i="59"/>
  <c r="I10" i="59" s="1"/>
  <c r="H26" i="59"/>
  <c r="AB10" i="59"/>
  <c r="K10" i="59" s="1"/>
  <c r="J26" i="59"/>
  <c r="AD10" i="52"/>
  <c r="M10" i="52" s="1"/>
  <c r="L26" i="52"/>
  <c r="H56" i="52"/>
  <c r="Z40" i="52"/>
  <c r="I40" i="52" s="1"/>
  <c r="J57" i="52"/>
  <c r="AB43" i="52"/>
  <c r="K43" i="52" s="1"/>
  <c r="F148" i="52"/>
  <c r="X136" i="52"/>
  <c r="G136" i="52" s="1"/>
  <c r="AD40" i="52"/>
  <c r="M40" i="52" s="1"/>
  <c r="L56" i="52"/>
  <c r="L28" i="52"/>
  <c r="AD16" i="52"/>
  <c r="M16" i="52" s="1"/>
  <c r="D117" i="52"/>
  <c r="V103" i="52"/>
  <c r="E7" i="59"/>
  <c r="L56" i="55"/>
  <c r="AD40" i="55"/>
  <c r="M40" i="55" s="1"/>
  <c r="AD7" i="55"/>
  <c r="M7" i="55" s="1"/>
  <c r="L25" i="55"/>
  <c r="F116" i="55"/>
  <c r="X100" i="55"/>
  <c r="V10" i="55"/>
  <c r="E10" i="55" s="1"/>
  <c r="D26" i="55"/>
  <c r="V160" i="55"/>
  <c r="D176" i="55"/>
  <c r="Y179" i="59"/>
  <c r="Z157" i="59"/>
  <c r="H175" i="59"/>
  <c r="AD70" i="58"/>
  <c r="M70" i="58" s="1"/>
  <c r="L86" i="58"/>
  <c r="AB7" i="58"/>
  <c r="K7" i="58" s="1"/>
  <c r="J25" i="58"/>
  <c r="AB76" i="58"/>
  <c r="K76" i="58" s="1"/>
  <c r="J88" i="58"/>
  <c r="AD130" i="58"/>
  <c r="M130" i="58" s="1"/>
  <c r="L146" i="58"/>
  <c r="L115" i="57"/>
  <c r="AC119" i="57"/>
  <c r="AD97" i="57"/>
  <c r="M97" i="57" s="1"/>
  <c r="J56" i="52"/>
  <c r="AB40" i="52"/>
  <c r="K40" i="52" s="1"/>
  <c r="Z133" i="57"/>
  <c r="I133" i="57" s="1"/>
  <c r="H147" i="57"/>
  <c r="Z79" i="52"/>
  <c r="I79" i="52" s="1"/>
  <c r="H89" i="52"/>
  <c r="J117" i="55"/>
  <c r="AB103" i="55"/>
  <c r="K103" i="55" s="1"/>
  <c r="AD10" i="57"/>
  <c r="M10" i="57" s="1"/>
  <c r="L26" i="57"/>
  <c r="D148" i="52"/>
  <c r="V136" i="52"/>
  <c r="D148" i="59"/>
  <c r="V136" i="59"/>
  <c r="E136" i="59" s="1"/>
  <c r="H85" i="53"/>
  <c r="Z67" i="53"/>
  <c r="Y89" i="53"/>
  <c r="H116" i="52"/>
  <c r="Z100" i="52"/>
  <c r="I100" i="52" s="1"/>
  <c r="L58" i="55"/>
  <c r="AD46" i="55"/>
  <c r="M46" i="55" s="1"/>
  <c r="J145" i="57"/>
  <c r="AB127" i="57"/>
  <c r="K127" i="57" s="1"/>
  <c r="J58" i="58"/>
  <c r="AB46" i="58"/>
  <c r="K46" i="58" s="1"/>
  <c r="L177" i="52"/>
  <c r="AD163" i="52"/>
  <c r="M163" i="52" s="1"/>
  <c r="X160" i="53"/>
  <c r="G160" i="53" s="1"/>
  <c r="F176" i="53"/>
  <c r="J87" i="59"/>
  <c r="AB73" i="59"/>
  <c r="K73" i="59" s="1"/>
  <c r="L146" i="57"/>
  <c r="AD130" i="57"/>
  <c r="M130" i="57" s="1"/>
  <c r="J55" i="53"/>
  <c r="AB37" i="53"/>
  <c r="K37" i="53" s="1"/>
  <c r="L178" i="58"/>
  <c r="H28" i="58"/>
  <c r="Z16" i="58"/>
  <c r="I16" i="58" s="1"/>
  <c r="V46" i="58"/>
  <c r="E46" i="58" s="1"/>
  <c r="D58" i="58"/>
  <c r="Z13" i="58"/>
  <c r="I13" i="58" s="1"/>
  <c r="H27" i="58"/>
  <c r="F86" i="52"/>
  <c r="X70" i="52"/>
  <c r="G70" i="52" s="1"/>
  <c r="Y29" i="52"/>
  <c r="H25" i="52"/>
  <c r="Z7" i="52"/>
  <c r="H145" i="52"/>
  <c r="Z127" i="52"/>
  <c r="Y149" i="52"/>
  <c r="L116" i="52"/>
  <c r="AD100" i="52"/>
  <c r="E10" i="52"/>
  <c r="L27" i="53"/>
  <c r="AD13" i="53"/>
  <c r="M13" i="53" s="1"/>
  <c r="L118" i="53"/>
  <c r="AD106" i="53"/>
  <c r="M106" i="53" s="1"/>
  <c r="V13" i="59"/>
  <c r="D27" i="59"/>
  <c r="Z106" i="59"/>
  <c r="I106" i="59" s="1"/>
  <c r="H118" i="59"/>
  <c r="H57" i="59"/>
  <c r="Z43" i="59"/>
  <c r="I43" i="59" s="1"/>
  <c r="Z166" i="57"/>
  <c r="I166" i="57" s="1"/>
  <c r="H178" i="57"/>
  <c r="AD76" i="57"/>
  <c r="M76" i="57" s="1"/>
  <c r="L88" i="57"/>
  <c r="Z157" i="57"/>
  <c r="I157" i="57" s="1"/>
  <c r="H175" i="57"/>
  <c r="AB97" i="57"/>
  <c r="J115" i="57"/>
  <c r="AA119" i="57"/>
  <c r="Z130" i="57"/>
  <c r="I130" i="57" s="1"/>
  <c r="H146" i="57"/>
  <c r="E46" i="52"/>
  <c r="AB100" i="55"/>
  <c r="K100" i="55" s="1"/>
  <c r="J116" i="55"/>
  <c r="AD157" i="53"/>
  <c r="M157" i="53" s="1"/>
  <c r="L175" i="53"/>
  <c r="J57" i="53"/>
  <c r="AB43" i="53"/>
  <c r="K43" i="53" s="1"/>
  <c r="L116" i="53"/>
  <c r="AD100" i="53"/>
  <c r="M100" i="53" s="1"/>
  <c r="X157" i="53"/>
  <c r="G157" i="53" s="1"/>
  <c r="F175" i="53"/>
  <c r="D57" i="53"/>
  <c r="V43" i="53"/>
  <c r="E43" i="53" s="1"/>
  <c r="D148" i="53"/>
  <c r="V136" i="53"/>
  <c r="D118" i="59"/>
  <c r="V106" i="59"/>
  <c r="AA29" i="59"/>
  <c r="AB7" i="59"/>
  <c r="K7" i="59" s="1"/>
  <c r="J25" i="59"/>
  <c r="D175" i="59"/>
  <c r="V157" i="59"/>
  <c r="E157" i="59" s="1"/>
  <c r="U179" i="59"/>
  <c r="V76" i="52"/>
  <c r="D88" i="52"/>
  <c r="AA29" i="52"/>
  <c r="AB7" i="52"/>
  <c r="J25" i="52"/>
  <c r="F26" i="52"/>
  <c r="X10" i="52"/>
  <c r="G10" i="52" s="1"/>
  <c r="L55" i="52"/>
  <c r="AC59" i="52"/>
  <c r="AD37" i="52"/>
  <c r="AB130" i="52"/>
  <c r="K130" i="52" s="1"/>
  <c r="J146" i="52"/>
  <c r="AD46" i="52"/>
  <c r="M46" i="52" s="1"/>
  <c r="L58" i="52"/>
  <c r="AB157" i="57"/>
  <c r="K157" i="57" s="1"/>
  <c r="J175" i="57"/>
  <c r="V16" i="55"/>
  <c r="D28" i="55"/>
  <c r="H88" i="55"/>
  <c r="Z76" i="55"/>
  <c r="I76" i="55" s="1"/>
  <c r="AD43" i="55"/>
  <c r="M43" i="55" s="1"/>
  <c r="L57" i="55"/>
  <c r="D147" i="55"/>
  <c r="V133" i="55"/>
  <c r="E133" i="55" s="1"/>
  <c r="AB7" i="55"/>
  <c r="K7" i="55" s="1"/>
  <c r="J25" i="55"/>
  <c r="F57" i="55"/>
  <c r="X43" i="55"/>
  <c r="G43" i="55" s="1"/>
  <c r="F25" i="57"/>
  <c r="W29" i="57"/>
  <c r="X7" i="57"/>
  <c r="J58" i="59"/>
  <c r="AB46" i="59"/>
  <c r="K46" i="59" s="1"/>
  <c r="X160" i="58"/>
  <c r="G160" i="58" s="1"/>
  <c r="F176" i="58"/>
  <c r="AB37" i="58"/>
  <c r="K37" i="58" s="1"/>
  <c r="J55" i="58"/>
  <c r="J147" i="58"/>
  <c r="AB133" i="58"/>
  <c r="K133" i="58" s="1"/>
  <c r="D87" i="58"/>
  <c r="V73" i="58"/>
  <c r="E73" i="58" s="1"/>
  <c r="AD163" i="55"/>
  <c r="M163" i="55" s="1"/>
  <c r="L177" i="55"/>
  <c r="X127" i="52"/>
  <c r="W149" i="52"/>
  <c r="F145" i="52"/>
  <c r="AB76" i="55"/>
  <c r="K76" i="55" s="1"/>
  <c r="J88" i="55"/>
  <c r="Z76" i="53"/>
  <c r="I76" i="53" s="1"/>
  <c r="H88" i="53"/>
  <c r="D145" i="57"/>
  <c r="V127" i="57"/>
  <c r="U149" i="57"/>
  <c r="V46" i="53"/>
  <c r="E46" i="53" s="1"/>
  <c r="D58" i="53"/>
  <c r="F85" i="53"/>
  <c r="X67" i="53"/>
  <c r="G67" i="53" s="1"/>
  <c r="AD73" i="52"/>
  <c r="M73" i="52" s="1"/>
  <c r="L87" i="52"/>
  <c r="Z7" i="55"/>
  <c r="Y29" i="55"/>
  <c r="X127" i="58"/>
  <c r="F145" i="58"/>
  <c r="W149" i="58"/>
  <c r="Z43" i="57"/>
  <c r="I43" i="57" s="1"/>
  <c r="H57" i="57"/>
  <c r="AD13" i="52"/>
  <c r="M13" i="52" s="1"/>
  <c r="L27" i="52"/>
  <c r="Y59" i="52"/>
  <c r="H55" i="52"/>
  <c r="Z37" i="52"/>
  <c r="D176" i="57"/>
  <c r="V160" i="57"/>
  <c r="E160" i="57" s="1"/>
  <c r="U149" i="55"/>
  <c r="D149" i="55" s="1"/>
  <c r="AD166" i="58"/>
  <c r="M166" i="58" s="1"/>
  <c r="AD133" i="58"/>
  <c r="M133" i="58" s="1"/>
  <c r="L147" i="58"/>
  <c r="D86" i="58"/>
  <c r="V70" i="58"/>
  <c r="E70" i="58" s="1"/>
  <c r="D176" i="58"/>
  <c r="V160" i="58"/>
  <c r="E160" i="58" s="1"/>
  <c r="W119" i="52"/>
  <c r="F115" i="52"/>
  <c r="X97" i="52"/>
  <c r="H148" i="52"/>
  <c r="Z136" i="52"/>
  <c r="I136" i="52" s="1"/>
  <c r="X13" i="52"/>
  <c r="G13" i="52" s="1"/>
  <c r="F27" i="52"/>
  <c r="Z97" i="52"/>
  <c r="H115" i="52"/>
  <c r="Y119" i="52"/>
  <c r="X43" i="52"/>
  <c r="G43" i="52" s="1"/>
  <c r="F57" i="52"/>
  <c r="F117" i="53"/>
  <c r="X103" i="53"/>
  <c r="G103" i="53" s="1"/>
  <c r="X13" i="53"/>
  <c r="G13" i="53" s="1"/>
  <c r="F27" i="53"/>
  <c r="H177" i="59"/>
  <c r="Z163" i="59"/>
  <c r="I163" i="59" s="1"/>
  <c r="D26" i="59"/>
  <c r="V10" i="59"/>
  <c r="E10" i="59" s="1"/>
  <c r="X73" i="59"/>
  <c r="G73" i="59" s="1"/>
  <c r="F87" i="59"/>
  <c r="AD79" i="53"/>
  <c r="M79" i="53" s="1"/>
  <c r="L89" i="53"/>
  <c r="AB103" i="57"/>
  <c r="K103" i="57" s="1"/>
  <c r="J117" i="57"/>
  <c r="Z10" i="57"/>
  <c r="I10" i="57" s="1"/>
  <c r="H26" i="57"/>
  <c r="L145" i="57"/>
  <c r="AC149" i="57"/>
  <c r="AD127" i="57"/>
  <c r="F58" i="57"/>
  <c r="X46" i="57"/>
  <c r="G46" i="57" s="1"/>
  <c r="X163" i="53"/>
  <c r="G163" i="53" s="1"/>
  <c r="F177" i="53"/>
  <c r="X100" i="53"/>
  <c r="F116" i="53"/>
  <c r="AD166" i="53"/>
  <c r="M166" i="53" s="1"/>
  <c r="L178" i="53"/>
  <c r="J27" i="53"/>
  <c r="AB13" i="53"/>
  <c r="K13" i="53" s="1"/>
  <c r="V67" i="53"/>
  <c r="D85" i="53"/>
  <c r="D178" i="59"/>
  <c r="V166" i="59"/>
  <c r="E166" i="59" s="1"/>
  <c r="J55" i="59"/>
  <c r="AB37" i="59"/>
  <c r="K37" i="59" s="1"/>
  <c r="F116" i="59"/>
  <c r="X100" i="59"/>
  <c r="G100" i="59" s="1"/>
  <c r="J88" i="59"/>
  <c r="AB76" i="59"/>
  <c r="K76" i="59" s="1"/>
  <c r="F116" i="52"/>
  <c r="X100" i="52"/>
  <c r="G100" i="52" s="1"/>
  <c r="D118" i="52"/>
  <c r="V106" i="52"/>
  <c r="H27" i="52"/>
  <c r="Z13" i="52"/>
  <c r="I13" i="52" s="1"/>
  <c r="J26" i="52"/>
  <c r="AB10" i="52"/>
  <c r="K10" i="52" s="1"/>
  <c r="U89" i="52"/>
  <c r="V67" i="52"/>
  <c r="D85" i="52"/>
  <c r="X46" i="52"/>
  <c r="G46" i="52" s="1"/>
  <c r="F58" i="52"/>
  <c r="U29" i="59"/>
  <c r="D117" i="57"/>
  <c r="V103" i="57"/>
  <c r="AD103" i="55"/>
  <c r="M103" i="55" s="1"/>
  <c r="L117" i="55"/>
  <c r="L28" i="55"/>
  <c r="AD16" i="55"/>
  <c r="M16" i="55" s="1"/>
  <c r="AA59" i="55"/>
  <c r="J55" i="55"/>
  <c r="AB37" i="55"/>
  <c r="K37" i="55" s="1"/>
  <c r="L116" i="55"/>
  <c r="AD100" i="55"/>
  <c r="M100" i="55" s="1"/>
  <c r="AA149" i="58"/>
  <c r="AB127" i="58"/>
  <c r="J145" i="58"/>
  <c r="AD76" i="58"/>
  <c r="M76" i="58" s="1"/>
  <c r="L88" i="58"/>
  <c r="Z136" i="58"/>
  <c r="I136" i="58" s="1"/>
  <c r="H148" i="58"/>
  <c r="Z10" i="58"/>
  <c r="I10" i="58" s="1"/>
  <c r="H26" i="58"/>
  <c r="J26" i="58"/>
  <c r="AB10" i="58"/>
  <c r="K10" i="58" s="1"/>
  <c r="V163" i="55"/>
  <c r="E163" i="55" s="1"/>
  <c r="D177" i="55"/>
  <c r="AB133" i="52"/>
  <c r="K133" i="52" s="1"/>
  <c r="J147" i="52"/>
  <c r="AD16" i="57"/>
  <c r="M16" i="57" s="1"/>
  <c r="L28" i="57"/>
  <c r="I67" i="52"/>
  <c r="V110" i="55"/>
  <c r="E110" i="55" s="1"/>
  <c r="F56" i="55"/>
  <c r="X40" i="55"/>
  <c r="G40" i="55" s="1"/>
  <c r="X133" i="58"/>
  <c r="G133" i="58" s="1"/>
  <c r="F147" i="58"/>
  <c r="D146" i="59"/>
  <c r="V130" i="59"/>
  <c r="E130" i="59" s="1"/>
  <c r="AB67" i="57"/>
  <c r="J85" i="57"/>
  <c r="AA89" i="57"/>
  <c r="Z37" i="59"/>
  <c r="I37" i="59" s="1"/>
  <c r="H55" i="59"/>
  <c r="AD103" i="52"/>
  <c r="M103" i="52" s="1"/>
  <c r="L117" i="52"/>
  <c r="V136" i="55"/>
  <c r="E136" i="55" s="1"/>
  <c r="D148" i="55"/>
  <c r="D86" i="52"/>
  <c r="V70" i="52"/>
  <c r="X70" i="58"/>
  <c r="G70" i="58" s="1"/>
  <c r="F86" i="58"/>
  <c r="AB46" i="52"/>
  <c r="K46" i="52" s="1"/>
  <c r="J58" i="52"/>
  <c r="AB13" i="59"/>
  <c r="K13" i="59" s="1"/>
  <c r="J27" i="59"/>
  <c r="F175" i="57"/>
  <c r="X157" i="57"/>
  <c r="W179" i="57"/>
  <c r="J176" i="53"/>
  <c r="AB103" i="58"/>
  <c r="K103" i="58" s="1"/>
  <c r="H25" i="55"/>
  <c r="W179" i="53"/>
  <c r="X169" i="53" s="1"/>
  <c r="X46" i="58"/>
  <c r="G46" i="58" s="1"/>
  <c r="F58" i="58"/>
  <c r="D116" i="58"/>
  <c r="V100" i="58"/>
  <c r="H58" i="52"/>
  <c r="Z46" i="52"/>
  <c r="I46" i="52" s="1"/>
  <c r="AC89" i="52"/>
  <c r="AD67" i="52"/>
  <c r="L85" i="52"/>
  <c r="AA179" i="52"/>
  <c r="AB157" i="52"/>
  <c r="K157" i="52" s="1"/>
  <c r="J175" i="52"/>
  <c r="AB127" i="52"/>
  <c r="J145" i="52"/>
  <c r="AA149" i="52"/>
  <c r="AB13" i="52"/>
  <c r="K13" i="52" s="1"/>
  <c r="J27" i="52"/>
  <c r="V37" i="53"/>
  <c r="E37" i="53" s="1"/>
  <c r="D55" i="53"/>
  <c r="U59" i="53"/>
  <c r="X43" i="59"/>
  <c r="G43" i="59" s="1"/>
  <c r="F57" i="59"/>
  <c r="F55" i="59"/>
  <c r="X37" i="59"/>
  <c r="W59" i="59"/>
  <c r="H27" i="57"/>
  <c r="Z13" i="57"/>
  <c r="I13" i="57" s="1"/>
  <c r="J86" i="57"/>
  <c r="AB70" i="57"/>
  <c r="K70" i="57" s="1"/>
  <c r="X163" i="57"/>
  <c r="G163" i="57" s="1"/>
  <c r="F177" i="57"/>
  <c r="AD46" i="57"/>
  <c r="M46" i="57" s="1"/>
  <c r="L58" i="57"/>
  <c r="V130" i="57"/>
  <c r="D146" i="57"/>
  <c r="L115" i="53"/>
  <c r="AC119" i="53"/>
  <c r="AD97" i="53"/>
  <c r="X73" i="53"/>
  <c r="G73" i="53" s="1"/>
  <c r="F87" i="53"/>
  <c r="J177" i="53"/>
  <c r="AB163" i="53"/>
  <c r="K163" i="53" s="1"/>
  <c r="AD160" i="53"/>
  <c r="M160" i="53" s="1"/>
  <c r="L176" i="53"/>
  <c r="H145" i="53"/>
  <c r="Z127" i="53"/>
  <c r="I127" i="53" s="1"/>
  <c r="Y149" i="53"/>
  <c r="Z166" i="53"/>
  <c r="I166" i="53" s="1"/>
  <c r="H178" i="53"/>
  <c r="AD37" i="59"/>
  <c r="M37" i="59" s="1"/>
  <c r="L55" i="59"/>
  <c r="AD10" i="59"/>
  <c r="M10" i="59" s="1"/>
  <c r="L26" i="59"/>
  <c r="AD67" i="59"/>
  <c r="AC89" i="59"/>
  <c r="L85" i="59"/>
  <c r="F85" i="52"/>
  <c r="W89" i="52"/>
  <c r="X67" i="52"/>
  <c r="V97" i="52"/>
  <c r="D115" i="52"/>
  <c r="U119" i="52"/>
  <c r="H57" i="52"/>
  <c r="Z43" i="52"/>
  <c r="I43" i="52" s="1"/>
  <c r="U149" i="52"/>
  <c r="V127" i="52"/>
  <c r="D145" i="52"/>
  <c r="F25" i="52"/>
  <c r="X7" i="52"/>
  <c r="W29" i="52"/>
  <c r="F118" i="52"/>
  <c r="X106" i="52"/>
  <c r="G106" i="52" s="1"/>
  <c r="V73" i="55"/>
  <c r="E73" i="55" s="1"/>
  <c r="D87" i="55"/>
  <c r="X13" i="59"/>
  <c r="G13" i="59" s="1"/>
  <c r="F27" i="59"/>
  <c r="F86" i="57"/>
  <c r="X70" i="57"/>
  <c r="G70" i="57" s="1"/>
  <c r="F28" i="55"/>
  <c r="X16" i="55"/>
  <c r="G16" i="55" s="1"/>
  <c r="V40" i="55"/>
  <c r="E40" i="55" s="1"/>
  <c r="D56" i="55"/>
  <c r="AB160" i="55"/>
  <c r="K160" i="55" s="1"/>
  <c r="J176" i="55"/>
  <c r="AA119" i="55"/>
  <c r="AB97" i="55"/>
  <c r="D55" i="55"/>
  <c r="V37" i="55"/>
  <c r="E37" i="55" s="1"/>
  <c r="H26" i="55"/>
  <c r="Z10" i="55"/>
  <c r="I10" i="55" s="1"/>
  <c r="X103" i="55"/>
  <c r="G103" i="55" s="1"/>
  <c r="F117" i="55"/>
  <c r="L175" i="58"/>
  <c r="AD157" i="58"/>
  <c r="M157" i="58" s="1"/>
  <c r="F57" i="58"/>
  <c r="X43" i="58"/>
  <c r="G43" i="58" s="1"/>
  <c r="W179" i="58"/>
  <c r="X157" i="58"/>
  <c r="F175" i="58"/>
  <c r="AD100" i="58"/>
  <c r="M100" i="58" s="1"/>
  <c r="L116" i="58"/>
  <c r="V106" i="58"/>
  <c r="D118" i="58"/>
  <c r="D118" i="57"/>
  <c r="V106" i="57"/>
  <c r="AB130" i="58"/>
  <c r="K130" i="58" s="1"/>
  <c r="J146" i="58"/>
  <c r="Z133" i="52"/>
  <c r="I133" i="52" s="1"/>
  <c r="H147" i="52"/>
  <c r="L147" i="57"/>
  <c r="AD133" i="57"/>
  <c r="M133" i="57" s="1"/>
  <c r="F118" i="59"/>
  <c r="X106" i="59"/>
  <c r="G106" i="59" s="1"/>
  <c r="V166" i="52"/>
  <c r="D178" i="52"/>
  <c r="H116" i="55"/>
  <c r="Z100" i="55"/>
  <c r="AB133" i="57"/>
  <c r="K133" i="57" s="1"/>
  <c r="J147" i="57"/>
  <c r="Y59" i="59"/>
  <c r="H59" i="59" s="1"/>
  <c r="U179" i="58"/>
  <c r="D179" i="58" s="1"/>
  <c r="X7" i="58"/>
  <c r="G7" i="58" s="1"/>
  <c r="F25" i="58"/>
  <c r="AD67" i="58"/>
  <c r="M67" i="58" s="1"/>
  <c r="L85" i="58"/>
  <c r="F178" i="58"/>
  <c r="X166" i="58"/>
  <c r="G166" i="58" s="1"/>
  <c r="AD103" i="58"/>
  <c r="M103" i="58" s="1"/>
  <c r="L117" i="58"/>
  <c r="V16" i="52"/>
  <c r="D28" i="52"/>
  <c r="J55" i="52"/>
  <c r="AB37" i="52"/>
  <c r="AA59" i="52"/>
  <c r="AD160" i="52"/>
  <c r="M160" i="52" s="1"/>
  <c r="L176" i="52"/>
  <c r="H118" i="52"/>
  <c r="Z106" i="52"/>
  <c r="I106" i="52" s="1"/>
  <c r="AB73" i="52"/>
  <c r="K73" i="52" s="1"/>
  <c r="J87" i="52"/>
  <c r="H175" i="53"/>
  <c r="Z157" i="53"/>
  <c r="I157" i="53" s="1"/>
  <c r="H27" i="59"/>
  <c r="Z13" i="59"/>
  <c r="I13" i="59" s="1"/>
  <c r="F86" i="59"/>
  <c r="X70" i="59"/>
  <c r="G70" i="59" s="1"/>
  <c r="H116" i="59"/>
  <c r="Z100" i="59"/>
  <c r="I100" i="59" s="1"/>
  <c r="Y119" i="59"/>
  <c r="H115" i="59"/>
  <c r="Z97" i="59"/>
  <c r="I97" i="59" s="1"/>
  <c r="F115" i="57"/>
  <c r="X97" i="57"/>
  <c r="W119" i="57"/>
  <c r="AD67" i="57"/>
  <c r="L85" i="57"/>
  <c r="AC89" i="57"/>
  <c r="F117" i="57"/>
  <c r="X103" i="57"/>
  <c r="G103" i="57" s="1"/>
  <c r="J118" i="57"/>
  <c r="AB106" i="57"/>
  <c r="K106" i="57" s="1"/>
  <c r="AD136" i="57"/>
  <c r="M136" i="57" s="1"/>
  <c r="L148" i="57"/>
  <c r="F145" i="53"/>
  <c r="X127" i="53"/>
  <c r="G127" i="53" s="1"/>
  <c r="W149" i="53"/>
  <c r="X106" i="53"/>
  <c r="G106" i="53" s="1"/>
  <c r="F118" i="53"/>
  <c r="AD163" i="53"/>
  <c r="M163" i="53" s="1"/>
  <c r="L177" i="53"/>
  <c r="AA29" i="53"/>
  <c r="AB76" i="53"/>
  <c r="K76" i="53" s="1"/>
  <c r="J88" i="53"/>
  <c r="H147" i="53"/>
  <c r="Z133" i="53"/>
  <c r="I133" i="53" s="1"/>
  <c r="X10" i="53"/>
  <c r="G10" i="53" s="1"/>
  <c r="F26" i="53"/>
  <c r="J56" i="59"/>
  <c r="AB40" i="59"/>
  <c r="K40" i="59" s="1"/>
  <c r="L25" i="59"/>
  <c r="AD7" i="59"/>
  <c r="AC29" i="59"/>
  <c r="H56" i="59"/>
  <c r="Z40" i="59"/>
  <c r="I40" i="59" s="1"/>
  <c r="AB166" i="52"/>
  <c r="K166" i="52" s="1"/>
  <c r="J178" i="52"/>
  <c r="AB70" i="52"/>
  <c r="K70" i="52" s="1"/>
  <c r="J86" i="52"/>
  <c r="AD43" i="52"/>
  <c r="M43" i="52" s="1"/>
  <c r="L57" i="52"/>
  <c r="D176" i="52"/>
  <c r="V160" i="52"/>
  <c r="J148" i="52"/>
  <c r="AB136" i="52"/>
  <c r="K136" i="52" s="1"/>
  <c r="X40" i="52"/>
  <c r="F56" i="52"/>
  <c r="W59" i="52"/>
  <c r="X37" i="52"/>
  <c r="F55" i="52"/>
  <c r="AB40" i="55"/>
  <c r="K40" i="55" s="1"/>
  <c r="J56" i="55"/>
  <c r="AD37" i="55"/>
  <c r="L55" i="55"/>
  <c r="AC59" i="55"/>
  <c r="H176" i="55"/>
  <c r="Z160" i="55"/>
  <c r="I160" i="55" s="1"/>
  <c r="X13" i="55"/>
  <c r="G13" i="55" s="1"/>
  <c r="F27" i="55"/>
  <c r="W59" i="55"/>
  <c r="F55" i="55"/>
  <c r="X37" i="55"/>
  <c r="X97" i="55"/>
  <c r="F115" i="55"/>
  <c r="W119" i="55"/>
  <c r="AB106" i="55"/>
  <c r="K106" i="55" s="1"/>
  <c r="J118" i="55"/>
  <c r="H115" i="55"/>
  <c r="Y119" i="55"/>
  <c r="AC149" i="58"/>
  <c r="L145" i="58"/>
  <c r="AD127" i="58"/>
  <c r="M127" i="58" s="1"/>
  <c r="D175" i="58"/>
  <c r="V157" i="58"/>
  <c r="E157" i="58" s="1"/>
  <c r="D88" i="58"/>
  <c r="V76" i="58"/>
  <c r="E76" i="58" s="1"/>
  <c r="X10" i="58"/>
  <c r="G10" i="58" s="1"/>
  <c r="F26" i="58"/>
  <c r="F177" i="58"/>
  <c r="X163" i="58"/>
  <c r="G163" i="58" s="1"/>
  <c r="AD133" i="55"/>
  <c r="M133" i="55" s="1"/>
  <c r="L147" i="55"/>
  <c r="X13" i="57"/>
  <c r="G13" i="57" s="1"/>
  <c r="F27" i="57"/>
  <c r="J57" i="58"/>
  <c r="AB43" i="58"/>
  <c r="K43" i="58" s="1"/>
  <c r="L25" i="52"/>
  <c r="AC29" i="52"/>
  <c r="AD7" i="52"/>
  <c r="V166" i="57"/>
  <c r="E166" i="57" s="1"/>
  <c r="D178" i="57"/>
  <c r="X16" i="53"/>
  <c r="G16" i="53" s="1"/>
  <c r="F28" i="53"/>
  <c r="J85" i="52"/>
  <c r="AB67" i="52"/>
  <c r="AA89" i="52"/>
  <c r="J178" i="55"/>
  <c r="AB166" i="55"/>
  <c r="K166" i="55" s="1"/>
  <c r="AD127" i="55"/>
  <c r="M127" i="55" s="1"/>
  <c r="L145" i="55"/>
  <c r="H118" i="58"/>
  <c r="Z106" i="58"/>
  <c r="I106" i="58" s="1"/>
  <c r="L176" i="55"/>
  <c r="AD160" i="55"/>
  <c r="M160" i="55" s="1"/>
  <c r="AB103" i="53"/>
  <c r="K103" i="53" s="1"/>
  <c r="AA179" i="55"/>
  <c r="W119" i="59"/>
  <c r="F119" i="59" s="1"/>
  <c r="Y29" i="59"/>
  <c r="Z19" i="59" s="1"/>
  <c r="Y59" i="57"/>
  <c r="Z7" i="58"/>
  <c r="H25" i="58"/>
  <c r="Y29" i="58"/>
  <c r="D57" i="58"/>
  <c r="V43" i="58"/>
  <c r="E43" i="58" s="1"/>
  <c r="X136" i="58"/>
  <c r="G136" i="58" s="1"/>
  <c r="F148" i="58"/>
  <c r="X130" i="52"/>
  <c r="G130" i="52" s="1"/>
  <c r="F146" i="52"/>
  <c r="V73" i="52"/>
  <c r="D87" i="52"/>
  <c r="V130" i="52"/>
  <c r="D146" i="52"/>
  <c r="L118" i="52"/>
  <c r="AD106" i="52"/>
  <c r="M106" i="52" s="1"/>
  <c r="X103" i="52"/>
  <c r="G103" i="52" s="1"/>
  <c r="F117" i="52"/>
  <c r="J149" i="53"/>
  <c r="AB139" i="53"/>
  <c r="J28" i="53"/>
  <c r="AB16" i="53"/>
  <c r="K16" i="53" s="1"/>
  <c r="Z7" i="59"/>
  <c r="I7" i="59" s="1"/>
  <c r="H25" i="59"/>
  <c r="L115" i="59"/>
  <c r="AD97" i="59"/>
  <c r="M97" i="59" s="1"/>
  <c r="V16" i="59"/>
  <c r="E16" i="59" s="1"/>
  <c r="D28" i="59"/>
  <c r="AB163" i="59"/>
  <c r="K163" i="59" s="1"/>
  <c r="J177" i="59"/>
  <c r="X100" i="57"/>
  <c r="G100" i="57" s="1"/>
  <c r="F116" i="57"/>
  <c r="J87" i="57"/>
  <c r="AB73" i="57"/>
  <c r="K73" i="57" s="1"/>
  <c r="V133" i="57"/>
  <c r="E133" i="57" s="1"/>
  <c r="D147" i="57"/>
  <c r="J116" i="57"/>
  <c r="AB100" i="57"/>
  <c r="K100" i="57" s="1"/>
  <c r="AD40" i="57"/>
  <c r="M40" i="57" s="1"/>
  <c r="L56" i="57"/>
  <c r="AB160" i="57"/>
  <c r="K160" i="57" s="1"/>
  <c r="J176" i="57"/>
  <c r="F25" i="53"/>
  <c r="W29" i="53"/>
  <c r="X7" i="53"/>
  <c r="L117" i="53"/>
  <c r="AD103" i="53"/>
  <c r="M103" i="53" s="1"/>
  <c r="AA89" i="53"/>
  <c r="AB67" i="53"/>
  <c r="K67" i="53" s="1"/>
  <c r="J85" i="53"/>
  <c r="J115" i="53"/>
  <c r="AA119" i="53"/>
  <c r="AB97" i="53"/>
  <c r="K97" i="53" s="1"/>
  <c r="L25" i="53"/>
  <c r="AC29" i="53"/>
  <c r="AD7" i="53"/>
  <c r="M7" i="53" s="1"/>
  <c r="H146" i="53"/>
  <c r="Z130" i="53"/>
  <c r="I130" i="53" s="1"/>
  <c r="D86" i="53"/>
  <c r="V70" i="53"/>
  <c r="E70" i="53" s="1"/>
  <c r="F147" i="53"/>
  <c r="X133" i="53"/>
  <c r="G133" i="53" s="1"/>
  <c r="AA89" i="59"/>
  <c r="AD13" i="59"/>
  <c r="M13" i="59" s="1"/>
  <c r="L27" i="59"/>
  <c r="L56" i="59"/>
  <c r="AD40" i="59"/>
  <c r="M40" i="59" s="1"/>
  <c r="AD70" i="59"/>
  <c r="M70" i="59" s="1"/>
  <c r="L86" i="59"/>
  <c r="Z130" i="52"/>
  <c r="I130" i="52" s="1"/>
  <c r="H146" i="52"/>
  <c r="AD70" i="52"/>
  <c r="M70" i="52" s="1"/>
  <c r="L86" i="52"/>
  <c r="D27" i="52"/>
  <c r="V13" i="52"/>
  <c r="J176" i="52"/>
  <c r="AB160" i="52"/>
  <c r="K160" i="52" s="1"/>
  <c r="Z16" i="52"/>
  <c r="I16" i="52" s="1"/>
  <c r="H28" i="52"/>
  <c r="F87" i="52"/>
  <c r="X73" i="52"/>
  <c r="G73" i="52" s="1"/>
  <c r="Y179" i="52"/>
  <c r="Z157" i="52"/>
  <c r="I157" i="52" s="1"/>
  <c r="H175" i="52"/>
  <c r="AC179" i="55"/>
  <c r="AD157" i="55"/>
  <c r="L175" i="55"/>
  <c r="F179" i="52"/>
  <c r="X169" i="52"/>
  <c r="G169" i="52" s="1"/>
  <c r="Z67" i="55"/>
  <c r="Y89" i="55"/>
  <c r="H85" i="55"/>
  <c r="H86" i="55"/>
  <c r="Z70" i="55"/>
  <c r="I70" i="55" s="1"/>
  <c r="F146" i="55"/>
  <c r="X130" i="55"/>
  <c r="G130" i="55" s="1"/>
  <c r="X106" i="55"/>
  <c r="G106" i="55" s="1"/>
  <c r="F118" i="55"/>
  <c r="H147" i="55"/>
  <c r="Z133" i="55"/>
  <c r="I133" i="55" s="1"/>
  <c r="J58" i="55"/>
  <c r="AB46" i="55"/>
  <c r="K46" i="55" s="1"/>
  <c r="AD97" i="58"/>
  <c r="AC119" i="58"/>
  <c r="L115" i="58"/>
  <c r="AB136" i="58"/>
  <c r="K136" i="58" s="1"/>
  <c r="J148" i="58"/>
  <c r="U89" i="58"/>
  <c r="Z100" i="58"/>
  <c r="I100" i="58" s="1"/>
  <c r="H116" i="58"/>
  <c r="F146" i="58"/>
  <c r="X130" i="58"/>
  <c r="G130" i="58" s="1"/>
  <c r="AD73" i="58"/>
  <c r="M73" i="58" s="1"/>
  <c r="L87" i="58"/>
  <c r="Z40" i="57"/>
  <c r="I40" i="57" s="1"/>
  <c r="H56" i="57"/>
  <c r="AD106" i="57"/>
  <c r="M106" i="57" s="1"/>
  <c r="L118" i="57"/>
  <c r="V163" i="57"/>
  <c r="E163" i="57" s="1"/>
  <c r="D177" i="57"/>
  <c r="J86" i="53"/>
  <c r="AB70" i="53"/>
  <c r="K70" i="53" s="1"/>
  <c r="AD100" i="57"/>
  <c r="M100" i="57" s="1"/>
  <c r="L116" i="57"/>
  <c r="Z166" i="52"/>
  <c r="I166" i="52" s="1"/>
  <c r="H178" i="52"/>
  <c r="J86" i="59"/>
  <c r="AB70" i="59"/>
  <c r="K70" i="59" s="1"/>
  <c r="X106" i="57"/>
  <c r="G106" i="57" s="1"/>
  <c r="F118" i="57"/>
  <c r="AB157" i="53"/>
  <c r="K157" i="53" s="1"/>
  <c r="J175" i="53"/>
  <c r="U149" i="59"/>
  <c r="D145" i="59"/>
  <c r="V127" i="59"/>
  <c r="J177" i="52"/>
  <c r="AB163" i="52"/>
  <c r="K163" i="52" s="1"/>
  <c r="F58" i="55"/>
  <c r="X46" i="55"/>
  <c r="G46" i="55" s="1"/>
  <c r="F56" i="58"/>
  <c r="X40" i="58"/>
  <c r="G40" i="58" s="1"/>
  <c r="AB40" i="58"/>
  <c r="K40" i="58" s="1"/>
  <c r="J56" i="58"/>
  <c r="AB100" i="58"/>
  <c r="K100" i="58" s="1"/>
  <c r="J116" i="58"/>
  <c r="H176" i="58"/>
  <c r="W89" i="58"/>
  <c r="X79" i="58" s="1"/>
  <c r="G79" i="58" s="1"/>
  <c r="U59" i="55"/>
  <c r="V49" i="55" s="1"/>
  <c r="F28" i="57"/>
  <c r="D56" i="58"/>
  <c r="V40" i="58"/>
  <c r="E40" i="58" s="1"/>
  <c r="D115" i="58"/>
  <c r="V97" i="58"/>
  <c r="U119" i="58"/>
  <c r="AB97" i="58"/>
  <c r="K97" i="58" s="1"/>
  <c r="J115" i="58"/>
  <c r="J28" i="52"/>
  <c r="AB16" i="52"/>
  <c r="K16" i="52" s="1"/>
  <c r="L175" i="52"/>
  <c r="AD157" i="52"/>
  <c r="AC179" i="52"/>
  <c r="V163" i="52"/>
  <c r="D177" i="52"/>
  <c r="D175" i="52"/>
  <c r="U179" i="52"/>
  <c r="V157" i="52"/>
  <c r="L178" i="52"/>
  <c r="AD166" i="52"/>
  <c r="M166" i="52" s="1"/>
  <c r="Z43" i="53"/>
  <c r="I43" i="53" s="1"/>
  <c r="H57" i="53"/>
  <c r="H178" i="59"/>
  <c r="Z166" i="59"/>
  <c r="I166" i="59" s="1"/>
  <c r="X67" i="59"/>
  <c r="W89" i="59"/>
  <c r="F85" i="59"/>
  <c r="AD16" i="59"/>
  <c r="M16" i="59" s="1"/>
  <c r="L28" i="59"/>
  <c r="V49" i="52"/>
  <c r="D59" i="52"/>
  <c r="AD73" i="57"/>
  <c r="M73" i="57" s="1"/>
  <c r="L87" i="57"/>
  <c r="AB76" i="57"/>
  <c r="K76" i="57" s="1"/>
  <c r="J88" i="57"/>
  <c r="J25" i="57"/>
  <c r="AB7" i="57"/>
  <c r="K7" i="57" s="1"/>
  <c r="F178" i="57"/>
  <c r="X166" i="57"/>
  <c r="G166" i="57" s="1"/>
  <c r="AD37" i="57"/>
  <c r="M37" i="57" s="1"/>
  <c r="L55" i="57"/>
  <c r="AC59" i="57"/>
  <c r="X160" i="57"/>
  <c r="G160" i="57" s="1"/>
  <c r="F176" i="57"/>
  <c r="W119" i="53"/>
  <c r="Z37" i="53"/>
  <c r="I37" i="53" s="1"/>
  <c r="H55" i="53"/>
  <c r="AD133" i="53"/>
  <c r="M133" i="53" s="1"/>
  <c r="L147" i="53"/>
  <c r="AB100" i="53"/>
  <c r="K100" i="53" s="1"/>
  <c r="J116" i="53"/>
  <c r="F146" i="53"/>
  <c r="X130" i="53"/>
  <c r="G130" i="53" s="1"/>
  <c r="J26" i="53"/>
  <c r="AB10" i="53"/>
  <c r="K10" i="53" s="1"/>
  <c r="Z160" i="59"/>
  <c r="I160" i="59" s="1"/>
  <c r="H176" i="59"/>
  <c r="AD76" i="59"/>
  <c r="M76" i="59" s="1"/>
  <c r="L88" i="59"/>
  <c r="AD73" i="59"/>
  <c r="M73" i="59" s="1"/>
  <c r="L87" i="59"/>
  <c r="V133" i="59"/>
  <c r="E133" i="59" s="1"/>
  <c r="D147" i="59"/>
  <c r="AB76" i="52"/>
  <c r="K76" i="52" s="1"/>
  <c r="J88" i="52"/>
  <c r="X16" i="52"/>
  <c r="G16" i="52" s="1"/>
  <c r="F28" i="52"/>
  <c r="H117" i="52"/>
  <c r="Z103" i="52"/>
  <c r="I103" i="52" s="1"/>
  <c r="F147" i="52"/>
  <c r="X133" i="52"/>
  <c r="G133" i="52" s="1"/>
  <c r="H176" i="52"/>
  <c r="Z160" i="52"/>
  <c r="I160" i="52" s="1"/>
  <c r="V100" i="52"/>
  <c r="D116" i="52"/>
  <c r="D147" i="52"/>
  <c r="V133" i="52"/>
  <c r="U29" i="52"/>
  <c r="AB13" i="55"/>
  <c r="K13" i="55" s="1"/>
  <c r="J27" i="55"/>
  <c r="E43" i="52"/>
  <c r="D178" i="55"/>
  <c r="V166" i="55"/>
  <c r="H146" i="55"/>
  <c r="Z130" i="55"/>
  <c r="I130" i="55" s="1"/>
  <c r="L146" i="55"/>
  <c r="AD130" i="55"/>
  <c r="M130" i="55" s="1"/>
  <c r="Z157" i="55"/>
  <c r="I157" i="55" s="1"/>
  <c r="H175" i="55"/>
  <c r="Z16" i="55"/>
  <c r="I16" i="55" s="1"/>
  <c r="H28" i="55"/>
  <c r="V67" i="55"/>
  <c r="E67" i="55" s="1"/>
  <c r="D85" i="55"/>
  <c r="Z103" i="55"/>
  <c r="I103" i="55" s="1"/>
  <c r="H117" i="55"/>
  <c r="V7" i="55"/>
  <c r="D25" i="55"/>
  <c r="AB16" i="58"/>
  <c r="K16" i="58" s="1"/>
  <c r="J28" i="58"/>
  <c r="J118" i="58"/>
  <c r="AB106" i="58"/>
  <c r="K106" i="58" s="1"/>
  <c r="Y119" i="58"/>
  <c r="Z97" i="58"/>
  <c r="H115" i="58"/>
  <c r="AD106" i="58"/>
  <c r="M106" i="58" s="1"/>
  <c r="L118" i="58"/>
  <c r="AD103" i="57"/>
  <c r="M103" i="57" s="1"/>
  <c r="L117" i="57"/>
  <c r="Y29" i="57"/>
  <c r="Z7" i="57"/>
  <c r="H25" i="57"/>
  <c r="AA59" i="59"/>
  <c r="M12" i="103"/>
  <c r="M12" i="104" s="1"/>
  <c r="O12" i="102"/>
  <c r="M43" i="104"/>
  <c r="O22" i="101"/>
  <c r="N22" i="102"/>
  <c r="O9" i="101"/>
  <c r="N9" i="102"/>
  <c r="P56" i="97"/>
  <c r="N27" i="103"/>
  <c r="O27" i="102"/>
  <c r="N4" i="104"/>
  <c r="O4" i="104" s="1"/>
  <c r="O4" i="103"/>
  <c r="M32" i="103"/>
  <c r="M26" i="102"/>
  <c r="O26" i="101"/>
  <c r="J178" i="59"/>
  <c r="AB166" i="59"/>
  <c r="K166" i="59" s="1"/>
  <c r="P29" i="96"/>
  <c r="M2" i="102"/>
  <c r="P60" i="97"/>
  <c r="N6" i="103"/>
  <c r="O6" i="102"/>
  <c r="K49" i="57"/>
  <c r="AB50" i="57"/>
  <c r="K50" i="57" s="1"/>
  <c r="Z40" i="55"/>
  <c r="H56" i="55"/>
  <c r="V73" i="53"/>
  <c r="D87" i="53"/>
  <c r="U89" i="53"/>
  <c r="AD43" i="53"/>
  <c r="L57" i="53"/>
  <c r="AC59" i="53"/>
  <c r="L177" i="59"/>
  <c r="AD163" i="59"/>
  <c r="M163" i="59" s="1"/>
  <c r="AB130" i="59"/>
  <c r="K130" i="59" s="1"/>
  <c r="J146" i="59"/>
  <c r="D26" i="58"/>
  <c r="V10" i="58"/>
  <c r="K166" i="57"/>
  <c r="Y179" i="53"/>
  <c r="H176" i="53"/>
  <c r="Z160" i="53"/>
  <c r="V163" i="53"/>
  <c r="D177" i="53"/>
  <c r="AD40" i="58"/>
  <c r="AC59" i="58"/>
  <c r="L56" i="58"/>
  <c r="J147" i="59"/>
  <c r="AB133" i="59"/>
  <c r="K133" i="59" s="1"/>
  <c r="E163" i="59"/>
  <c r="V73" i="59"/>
  <c r="D87" i="59"/>
  <c r="I160" i="58"/>
  <c r="U29" i="53"/>
  <c r="D25" i="53"/>
  <c r="V7" i="53"/>
  <c r="AB49" i="53"/>
  <c r="K49" i="53" s="1"/>
  <c r="J59" i="53"/>
  <c r="Z37" i="58"/>
  <c r="I37" i="58" s="1"/>
  <c r="H55" i="58"/>
  <c r="Y59" i="58"/>
  <c r="X43" i="57"/>
  <c r="G43" i="57" s="1"/>
  <c r="F57" i="57"/>
  <c r="V46" i="57"/>
  <c r="D58" i="57"/>
  <c r="K157" i="59"/>
  <c r="K67" i="59"/>
  <c r="G67" i="57"/>
  <c r="D118" i="53"/>
  <c r="V106" i="53"/>
  <c r="D26" i="57"/>
  <c r="V10" i="57"/>
  <c r="L87" i="55"/>
  <c r="AD73" i="55"/>
  <c r="M127" i="53"/>
  <c r="F56" i="57"/>
  <c r="X40" i="57"/>
  <c r="I163" i="55"/>
  <c r="I70" i="58"/>
  <c r="L58" i="58"/>
  <c r="AD46" i="58"/>
  <c r="M46" i="58" s="1"/>
  <c r="L26" i="58"/>
  <c r="AD10" i="58"/>
  <c r="M10" i="58" s="1"/>
  <c r="E70" i="55"/>
  <c r="M106" i="55"/>
  <c r="I136" i="59"/>
  <c r="H147" i="58"/>
  <c r="Z133" i="58"/>
  <c r="F25" i="59"/>
  <c r="W29" i="59"/>
  <c r="X7" i="59"/>
  <c r="V160" i="53"/>
  <c r="D176" i="53"/>
  <c r="U179" i="53"/>
  <c r="H27" i="53"/>
  <c r="Z13" i="53"/>
  <c r="I13" i="53" s="1"/>
  <c r="D88" i="59"/>
  <c r="V76" i="59"/>
  <c r="F145" i="57"/>
  <c r="X127" i="57"/>
  <c r="W149" i="57"/>
  <c r="D27" i="53"/>
  <c r="V13" i="53"/>
  <c r="K46" i="53"/>
  <c r="D59" i="55"/>
  <c r="H56" i="58"/>
  <c r="Z40" i="58"/>
  <c r="X37" i="57"/>
  <c r="F55" i="57"/>
  <c r="W59" i="57"/>
  <c r="K7" i="53"/>
  <c r="J179" i="59"/>
  <c r="AB169" i="59"/>
  <c r="H149" i="59"/>
  <c r="Z139" i="59"/>
  <c r="I139" i="59" s="1"/>
  <c r="G97" i="59"/>
  <c r="G76" i="57"/>
  <c r="G73" i="57"/>
  <c r="U119" i="53"/>
  <c r="V97" i="53"/>
  <c r="D115" i="53"/>
  <c r="D27" i="57"/>
  <c r="V13" i="57"/>
  <c r="E13" i="55"/>
  <c r="D146" i="55"/>
  <c r="V130" i="55"/>
  <c r="D149" i="58"/>
  <c r="V139" i="58"/>
  <c r="V140" i="58" s="1"/>
  <c r="E140" i="58" s="1"/>
  <c r="D115" i="59"/>
  <c r="V97" i="59"/>
  <c r="U119" i="59"/>
  <c r="J89" i="55"/>
  <c r="AB79" i="55"/>
  <c r="K79" i="55" s="1"/>
  <c r="D26" i="53"/>
  <c r="V10" i="53"/>
  <c r="V7" i="57"/>
  <c r="D25" i="57"/>
  <c r="U29" i="57"/>
  <c r="D145" i="53"/>
  <c r="V127" i="53"/>
  <c r="U149" i="53"/>
  <c r="F28" i="59"/>
  <c r="X16" i="59"/>
  <c r="Z127" i="57"/>
  <c r="H145" i="57"/>
  <c r="Y149" i="57"/>
  <c r="AD43" i="59"/>
  <c r="AC59" i="59"/>
  <c r="L57" i="59"/>
  <c r="Z163" i="57"/>
  <c r="H177" i="57"/>
  <c r="Z10" i="53"/>
  <c r="I10" i="53" s="1"/>
  <c r="H26" i="53"/>
  <c r="Y29" i="53"/>
  <c r="U89" i="59"/>
  <c r="D85" i="59"/>
  <c r="V67" i="59"/>
  <c r="L149" i="59"/>
  <c r="AD139" i="59"/>
  <c r="M100" i="59"/>
  <c r="Z43" i="58"/>
  <c r="H57" i="58"/>
  <c r="Z73" i="57"/>
  <c r="I73" i="57" s="1"/>
  <c r="H87" i="57"/>
  <c r="G10" i="55"/>
  <c r="E127" i="55"/>
  <c r="U29" i="58"/>
  <c r="V7" i="58"/>
  <c r="D25" i="58"/>
  <c r="F89" i="55"/>
  <c r="X79" i="55"/>
  <c r="F89" i="57"/>
  <c r="X79" i="57"/>
  <c r="G79" i="57" s="1"/>
  <c r="AB19" i="55"/>
  <c r="J29" i="55"/>
  <c r="E79" i="57"/>
  <c r="V103" i="53"/>
  <c r="D117" i="53"/>
  <c r="X136" i="59"/>
  <c r="F148" i="59"/>
  <c r="V80" i="57"/>
  <c r="E80" i="57" s="1"/>
  <c r="Z130" i="58"/>
  <c r="H146" i="58"/>
  <c r="Z166" i="58"/>
  <c r="I166" i="58" s="1"/>
  <c r="H178" i="58"/>
  <c r="V43" i="57"/>
  <c r="D57" i="57"/>
  <c r="Y149" i="58"/>
  <c r="Z127" i="58"/>
  <c r="H145" i="58"/>
  <c r="E127" i="58"/>
  <c r="D116" i="53"/>
  <c r="V100" i="53"/>
  <c r="F28" i="58"/>
  <c r="X16" i="58"/>
  <c r="G16" i="58" s="1"/>
  <c r="AB13" i="57"/>
  <c r="AA29" i="57"/>
  <c r="J27" i="57"/>
  <c r="V130" i="53"/>
  <c r="D146" i="53"/>
  <c r="I73" i="59"/>
  <c r="AC89" i="55"/>
  <c r="L85" i="55"/>
  <c r="AD67" i="55"/>
  <c r="H148" i="57"/>
  <c r="Z136" i="57"/>
  <c r="I136" i="57" s="1"/>
  <c r="L58" i="59"/>
  <c r="AD46" i="59"/>
  <c r="V70" i="59"/>
  <c r="D86" i="59"/>
  <c r="AC29" i="58"/>
  <c r="L25" i="58"/>
  <c r="AD7" i="58"/>
  <c r="AD109" i="59"/>
  <c r="M109" i="59" s="1"/>
  <c r="L119" i="59"/>
  <c r="G76" i="53"/>
  <c r="E40" i="53"/>
  <c r="AB169" i="55"/>
  <c r="K169" i="55" s="1"/>
  <c r="J179" i="55"/>
  <c r="V79" i="55"/>
  <c r="D89" i="55"/>
  <c r="V169" i="55"/>
  <c r="L176" i="59"/>
  <c r="AD160" i="59"/>
  <c r="D59" i="59"/>
  <c r="V49" i="59"/>
  <c r="J179" i="58"/>
  <c r="AB169" i="58"/>
  <c r="K169" i="58" s="1"/>
  <c r="F147" i="59"/>
  <c r="X133" i="59"/>
  <c r="AD19" i="57"/>
  <c r="L29" i="57"/>
  <c r="AB127" i="59"/>
  <c r="K127" i="59" s="1"/>
  <c r="J145" i="59"/>
  <c r="AA149" i="59"/>
  <c r="L28" i="58"/>
  <c r="AD16" i="58"/>
  <c r="M16" i="58" s="1"/>
  <c r="K109" i="59"/>
  <c r="AB110" i="59"/>
  <c r="K110" i="59" s="1"/>
  <c r="L175" i="59"/>
  <c r="AC179" i="59"/>
  <c r="AD157" i="59"/>
  <c r="M157" i="59" s="1"/>
  <c r="I97" i="53"/>
  <c r="V76" i="53"/>
  <c r="D88" i="53"/>
  <c r="H86" i="57"/>
  <c r="Z70" i="57"/>
  <c r="K70" i="55"/>
  <c r="E100" i="57"/>
  <c r="H119" i="53"/>
  <c r="Z109" i="53"/>
  <c r="I109" i="53" s="1"/>
  <c r="H57" i="55"/>
  <c r="Z43" i="55"/>
  <c r="V133" i="53"/>
  <c r="D147" i="53"/>
  <c r="H89" i="59"/>
  <c r="Z79" i="59"/>
  <c r="I79" i="59" s="1"/>
  <c r="X10" i="59"/>
  <c r="F26" i="59"/>
  <c r="AD43" i="58"/>
  <c r="M43" i="58" s="1"/>
  <c r="L57" i="58"/>
  <c r="AB136" i="59"/>
  <c r="K136" i="59" s="1"/>
  <c r="J148" i="59"/>
  <c r="Z160" i="57"/>
  <c r="H176" i="57"/>
  <c r="Y179" i="57"/>
  <c r="X133" i="57"/>
  <c r="F147" i="57"/>
  <c r="F89" i="53"/>
  <c r="X79" i="53"/>
  <c r="G79" i="53" s="1"/>
  <c r="V103" i="59"/>
  <c r="D117" i="59"/>
  <c r="Z49" i="53"/>
  <c r="H59" i="53"/>
  <c r="K157" i="55"/>
  <c r="AF157" i="55"/>
  <c r="O157" i="55" s="1"/>
  <c r="D27" i="58"/>
  <c r="V13" i="58"/>
  <c r="AD166" i="59"/>
  <c r="L178" i="59"/>
  <c r="E76" i="55"/>
  <c r="G133" i="55"/>
  <c r="V16" i="53"/>
  <c r="D28" i="53"/>
  <c r="D28" i="58"/>
  <c r="V16" i="58"/>
  <c r="Z76" i="57"/>
  <c r="I76" i="57" s="1"/>
  <c r="H88" i="57"/>
  <c r="F145" i="59"/>
  <c r="X127" i="59"/>
  <c r="W149" i="59"/>
  <c r="Y59" i="55"/>
  <c r="H55" i="55"/>
  <c r="Z37" i="55"/>
  <c r="L88" i="55"/>
  <c r="AD76" i="55"/>
  <c r="M76" i="55" s="1"/>
  <c r="M70" i="53"/>
  <c r="K157" i="58"/>
  <c r="K73" i="53"/>
  <c r="AD139" i="53"/>
  <c r="M139" i="53" s="1"/>
  <c r="AD109" i="55"/>
  <c r="L119" i="55"/>
  <c r="Y179" i="58"/>
  <c r="H175" i="58"/>
  <c r="Z157" i="58"/>
  <c r="X136" i="57"/>
  <c r="F148" i="57"/>
  <c r="L27" i="58"/>
  <c r="AD13" i="58"/>
  <c r="M13" i="58" s="1"/>
  <c r="E157" i="53"/>
  <c r="E67" i="58"/>
  <c r="D116" i="59"/>
  <c r="V100" i="59"/>
  <c r="H58" i="58"/>
  <c r="Z46" i="58"/>
  <c r="AD46" i="53"/>
  <c r="M46" i="53" s="1"/>
  <c r="L58" i="53"/>
  <c r="M37" i="53"/>
  <c r="I46" i="53"/>
  <c r="J179" i="57"/>
  <c r="AB169" i="57"/>
  <c r="K169" i="57" s="1"/>
  <c r="H85" i="57"/>
  <c r="Y89" i="57"/>
  <c r="Z67" i="57"/>
  <c r="V37" i="57"/>
  <c r="D55" i="57"/>
  <c r="U59" i="57"/>
  <c r="V16" i="57"/>
  <c r="D28" i="57"/>
  <c r="X130" i="59"/>
  <c r="F146" i="59"/>
  <c r="BR70" i="59"/>
  <c r="BR134" i="59"/>
  <c r="P22" i="97"/>
  <c r="P85" i="97"/>
  <c r="P2" i="97"/>
  <c r="P39" i="97"/>
  <c r="BU71" i="53"/>
  <c r="BV71" i="53" s="1"/>
  <c r="BU9" i="53"/>
  <c r="BV9" i="53" s="1"/>
  <c r="BU158" i="53"/>
  <c r="BV158" i="53" s="1"/>
  <c r="BU8" i="53"/>
  <c r="BV8" i="53" s="1"/>
  <c r="BU132" i="53"/>
  <c r="BV132" i="53" s="1"/>
  <c r="BU18" i="53"/>
  <c r="BV18" i="53" s="1"/>
  <c r="BU39" i="53"/>
  <c r="BV39" i="53" s="1"/>
  <c r="BU163" i="53"/>
  <c r="BV163" i="53" s="1"/>
  <c r="BU7" i="53"/>
  <c r="BV7" i="53" s="1"/>
  <c r="BU11" i="53"/>
  <c r="BV11" i="53" s="1"/>
  <c r="BU105" i="53"/>
  <c r="BV105" i="53" s="1"/>
  <c r="BU75" i="53"/>
  <c r="BV75" i="53" s="1"/>
  <c r="BU38" i="53"/>
  <c r="BV38" i="53" s="1"/>
  <c r="BU167" i="53"/>
  <c r="BV167" i="53" s="1"/>
  <c r="BU70" i="53"/>
  <c r="BV70" i="53" s="1"/>
  <c r="BU102" i="53"/>
  <c r="BV102" i="53" s="1"/>
  <c r="BU13" i="53"/>
  <c r="BU40" i="53"/>
  <c r="BV40" i="53" s="1"/>
  <c r="BU68" i="53"/>
  <c r="BV68" i="53" s="1"/>
  <c r="BU104" i="53"/>
  <c r="BV104" i="53" s="1"/>
  <c r="BU47" i="53"/>
  <c r="BV47" i="53" s="1"/>
  <c r="BU162" i="53"/>
  <c r="BV162" i="53" s="1"/>
  <c r="BU157" i="53"/>
  <c r="BV157" i="53" s="1"/>
  <c r="BU16" i="53"/>
  <c r="BV16" i="53" s="1"/>
  <c r="BU74" i="53"/>
  <c r="BV74" i="53" s="1"/>
  <c r="BU138" i="53"/>
  <c r="BV138" i="53" s="1"/>
  <c r="BU77" i="53"/>
  <c r="BV77" i="53" s="1"/>
  <c r="BU130" i="53"/>
  <c r="BV130" i="53" s="1"/>
  <c r="BU161" i="53"/>
  <c r="BV161" i="53" s="1"/>
  <c r="BU136" i="53"/>
  <c r="BV136" i="53" s="1"/>
  <c r="BU78" i="53"/>
  <c r="BV78" i="53" s="1"/>
  <c r="BU42" i="53"/>
  <c r="BV42" i="53" s="1"/>
  <c r="BU165" i="53"/>
  <c r="BV165" i="53" s="1"/>
  <c r="BU73" i="53"/>
  <c r="BV73" i="53" s="1"/>
  <c r="BU72" i="53"/>
  <c r="BV72" i="53" s="1"/>
  <c r="BU41" i="53"/>
  <c r="BV41" i="53" s="1"/>
  <c r="BU45" i="53"/>
  <c r="BV45" i="53" s="1"/>
  <c r="BU46" i="53"/>
  <c r="BV46" i="53" s="1"/>
  <c r="BU135" i="53"/>
  <c r="BV135" i="53" s="1"/>
  <c r="BU100" i="53"/>
  <c r="BV100" i="53" s="1"/>
  <c r="BU15" i="53"/>
  <c r="BV15" i="53" s="1"/>
  <c r="BU133" i="53"/>
  <c r="BV133" i="53" s="1"/>
  <c r="BU129" i="53"/>
  <c r="BV129" i="53" s="1"/>
  <c r="BU98" i="53"/>
  <c r="BV98" i="53" s="1"/>
  <c r="BU159" i="53"/>
  <c r="BV159" i="53" s="1"/>
  <c r="BU37" i="53"/>
  <c r="BV37" i="53" s="1"/>
  <c r="BU106" i="53"/>
  <c r="BV106" i="53" s="1"/>
  <c r="BU128" i="53"/>
  <c r="BV128" i="53" s="1"/>
  <c r="BU67" i="53"/>
  <c r="BV67" i="53" s="1"/>
  <c r="BU103" i="53"/>
  <c r="BV103" i="53" s="1"/>
  <c r="BU127" i="53"/>
  <c r="BV127" i="53" s="1"/>
  <c r="BU69" i="53"/>
  <c r="BV69" i="53" s="1"/>
  <c r="BU44" i="53"/>
  <c r="BV44" i="53" s="1"/>
  <c r="BU14" i="53"/>
  <c r="BV14" i="53" s="1"/>
  <c r="BU10" i="53"/>
  <c r="BV10" i="53" s="1"/>
  <c r="BU134" i="53"/>
  <c r="BV134" i="53" s="1"/>
  <c r="BU101" i="53"/>
  <c r="BV101" i="53" s="1"/>
  <c r="BU17" i="53"/>
  <c r="BV17" i="53" s="1"/>
  <c r="BU43" i="53"/>
  <c r="BV43" i="53" s="1"/>
  <c r="BU168" i="53"/>
  <c r="BV168" i="53" s="1"/>
  <c r="BU131" i="53"/>
  <c r="BV131" i="53" s="1"/>
  <c r="BU107" i="53"/>
  <c r="BV107" i="53" s="1"/>
  <c r="BU12" i="53"/>
  <c r="BV12" i="53" s="1"/>
  <c r="BU164" i="53"/>
  <c r="BV164" i="53" s="1"/>
  <c r="BU160" i="53"/>
  <c r="BV160" i="53" s="1"/>
  <c r="BU166" i="53"/>
  <c r="BV166" i="53" s="1"/>
  <c r="BU99" i="53"/>
  <c r="BV99" i="53" s="1"/>
  <c r="BU108" i="53"/>
  <c r="BV108" i="53" s="1"/>
  <c r="BU48" i="53"/>
  <c r="BV48" i="53" s="1"/>
  <c r="BU76" i="53"/>
  <c r="BV76" i="53" s="1"/>
  <c r="BU137" i="53"/>
  <c r="BV137" i="53" s="1"/>
  <c r="BU97" i="53"/>
  <c r="BV97" i="53" s="1"/>
  <c r="P62" i="97"/>
  <c r="BR76" i="59"/>
  <c r="BR131" i="59"/>
  <c r="BR128" i="59"/>
  <c r="BU129" i="59"/>
  <c r="BU39" i="59"/>
  <c r="BR129" i="59"/>
  <c r="BU167" i="52"/>
  <c r="BV167" i="52" s="1"/>
  <c r="BR18" i="59"/>
  <c r="BR72" i="59"/>
  <c r="BR166" i="59"/>
  <c r="BR74" i="59"/>
  <c r="BR7" i="59"/>
  <c r="BR161" i="59"/>
  <c r="L149" i="55"/>
  <c r="AD139" i="55"/>
  <c r="N17" i="63"/>
  <c r="C17" i="63"/>
  <c r="H17" i="63" s="1"/>
  <c r="N19" i="63"/>
  <c r="C19" i="63" s="1"/>
  <c r="H19" i="63" s="1"/>
  <c r="BU12" i="55"/>
  <c r="BV12" i="55" s="1"/>
  <c r="BU78" i="55"/>
  <c r="BV78" i="55" s="1"/>
  <c r="BU74" i="55"/>
  <c r="BV74" i="55" s="1"/>
  <c r="BU39" i="55"/>
  <c r="BV39" i="55" s="1"/>
  <c r="P6" i="96"/>
  <c r="P40" i="96"/>
  <c r="P97" i="96"/>
  <c r="P5" i="96"/>
  <c r="P9" i="96"/>
  <c r="P89" i="96"/>
  <c r="P66" i="96"/>
  <c r="P32" i="96"/>
  <c r="P3" i="96"/>
  <c r="P31" i="96"/>
  <c r="P85" i="96"/>
  <c r="P56" i="96"/>
  <c r="P59" i="96"/>
  <c r="P51" i="96"/>
  <c r="P99" i="96"/>
  <c r="P65" i="96"/>
  <c r="P83" i="96"/>
  <c r="P14" i="96"/>
  <c r="P74" i="96"/>
  <c r="P45" i="96"/>
  <c r="P87" i="96"/>
  <c r="P16" i="96"/>
  <c r="P80" i="96"/>
  <c r="P10" i="96"/>
  <c r="P104" i="96"/>
  <c r="P18" i="96"/>
  <c r="P17" i="96"/>
  <c r="P53" i="96"/>
  <c r="P8" i="96"/>
  <c r="P84" i="96"/>
  <c r="P70" i="96"/>
  <c r="P63" i="96"/>
  <c r="P35" i="96"/>
  <c r="P26" i="96"/>
  <c r="P57" i="96"/>
  <c r="P58" i="96"/>
  <c r="P102" i="96"/>
  <c r="P48" i="96"/>
  <c r="P37" i="96"/>
  <c r="P30" i="96"/>
  <c r="P46" i="96"/>
  <c r="P2" i="96"/>
  <c r="P62" i="96"/>
  <c r="P73" i="96"/>
  <c r="P34" i="96"/>
  <c r="P78" i="96"/>
  <c r="P92" i="96"/>
  <c r="P76" i="96"/>
  <c r="P52" i="96"/>
  <c r="P33" i="96"/>
  <c r="P47" i="96"/>
  <c r="P54" i="96"/>
  <c r="P25" i="96"/>
  <c r="P79" i="96"/>
  <c r="P12" i="96"/>
  <c r="P91" i="96"/>
  <c r="P64" i="96"/>
  <c r="P39" i="96"/>
  <c r="P94" i="96"/>
  <c r="P69" i="96"/>
  <c r="P4" i="96"/>
  <c r="P72" i="96"/>
  <c r="P13" i="96"/>
  <c r="P38" i="96"/>
  <c r="P22" i="96"/>
  <c r="P23" i="96"/>
  <c r="P36" i="96"/>
  <c r="P50" i="96"/>
  <c r="P100" i="96"/>
  <c r="P42" i="96"/>
  <c r="P82" i="96"/>
  <c r="P55" i="96"/>
  <c r="P98" i="96"/>
  <c r="P20" i="96"/>
  <c r="P60" i="96"/>
  <c r="P11" i="96"/>
  <c r="P96" i="96"/>
  <c r="P68" i="96"/>
  <c r="P101" i="96"/>
  <c r="P7" i="96"/>
  <c r="P41" i="96"/>
  <c r="P15" i="96"/>
  <c r="BU14" i="55"/>
  <c r="BV14" i="55" s="1"/>
  <c r="P3" i="97"/>
  <c r="P17" i="97"/>
  <c r="P58" i="97"/>
  <c r="P35" i="97"/>
  <c r="P27" i="97"/>
  <c r="P101" i="97"/>
  <c r="P8" i="97"/>
  <c r="P94" i="97"/>
  <c r="P15" i="97"/>
  <c r="P31" i="97"/>
  <c r="P45" i="97"/>
  <c r="BU40" i="59"/>
  <c r="BR137" i="59"/>
  <c r="O18" i="101"/>
  <c r="N18" i="102"/>
  <c r="P52" i="97"/>
  <c r="P57" i="97"/>
  <c r="P82" i="97"/>
  <c r="P53" i="97"/>
  <c r="P66" i="97"/>
  <c r="P96" i="97"/>
  <c r="O26" i="99"/>
  <c r="P26" i="99" s="1"/>
  <c r="BU103" i="52"/>
  <c r="BV103" i="52" s="1"/>
  <c r="BU100" i="52"/>
  <c r="BV100" i="52" s="1"/>
  <c r="BU160" i="52"/>
  <c r="BV160" i="52" s="1"/>
  <c r="BU165" i="52"/>
  <c r="BV165" i="52" s="1"/>
  <c r="BU48" i="52"/>
  <c r="BV48" i="52" s="1"/>
  <c r="BU107" i="52"/>
  <c r="BV107" i="52" s="1"/>
  <c r="BU38" i="52"/>
  <c r="BV38" i="52" s="1"/>
  <c r="BU18" i="52"/>
  <c r="BV18" i="52" s="1"/>
  <c r="BU106" i="52"/>
  <c r="BV106" i="52" s="1"/>
  <c r="BU14" i="52"/>
  <c r="BV14" i="52" s="1"/>
  <c r="BU9" i="52"/>
  <c r="BV9" i="52" s="1"/>
  <c r="BU39" i="52"/>
  <c r="BV39" i="52" s="1"/>
  <c r="BU99" i="52"/>
  <c r="BV99" i="52" s="1"/>
  <c r="BU76" i="52"/>
  <c r="BV76" i="52" s="1"/>
  <c r="BU42" i="52"/>
  <c r="BV42" i="52" s="1"/>
  <c r="BU134" i="52"/>
  <c r="BV134" i="52" s="1"/>
  <c r="BU159" i="52"/>
  <c r="BV159" i="52" s="1"/>
  <c r="BU105" i="52"/>
  <c r="BV105" i="52" s="1"/>
  <c r="BU104" i="52"/>
  <c r="BV104" i="52" s="1"/>
  <c r="BU8" i="52"/>
  <c r="BV8" i="52" s="1"/>
  <c r="BU157" i="52"/>
  <c r="BV157" i="52" s="1"/>
  <c r="BU69" i="52"/>
  <c r="BV69" i="52" s="1"/>
  <c r="BU7" i="52"/>
  <c r="BV7" i="52" s="1"/>
  <c r="BU162" i="52"/>
  <c r="BV162" i="52" s="1"/>
  <c r="BU47" i="52"/>
  <c r="BV47" i="52" s="1"/>
  <c r="BU67" i="52"/>
  <c r="BV67" i="52" s="1"/>
  <c r="BU137" i="52"/>
  <c r="BV137" i="52" s="1"/>
  <c r="BU15" i="52"/>
  <c r="BV15" i="52" s="1"/>
  <c r="BU77" i="52"/>
  <c r="BV77" i="52" s="1"/>
  <c r="BU37" i="52"/>
  <c r="BV37" i="52" s="1"/>
  <c r="BU71" i="52"/>
  <c r="BV71" i="52" s="1"/>
  <c r="BU132" i="52"/>
  <c r="BV132" i="52" s="1"/>
  <c r="BU138" i="52"/>
  <c r="BV138" i="52" s="1"/>
  <c r="BU74" i="52"/>
  <c r="BV74" i="52" s="1"/>
  <c r="BU97" i="52"/>
  <c r="BV97" i="52" s="1"/>
  <c r="BU131" i="52"/>
  <c r="BV131" i="52" s="1"/>
  <c r="BU166" i="52"/>
  <c r="BV166" i="52" s="1"/>
  <c r="BU133" i="52"/>
  <c r="BV133" i="52" s="1"/>
  <c r="BU70" i="52"/>
  <c r="BV70" i="52" s="1"/>
  <c r="BU12" i="52"/>
  <c r="BV12" i="52" s="1"/>
  <c r="BU73" i="52"/>
  <c r="BV73" i="52" s="1"/>
  <c r="BU16" i="52"/>
  <c r="BV16" i="52" s="1"/>
  <c r="BU158" i="52"/>
  <c r="BV158" i="52" s="1"/>
  <c r="BU68" i="52"/>
  <c r="BV68" i="52" s="1"/>
  <c r="BU44" i="52"/>
  <c r="BV44" i="52" s="1"/>
  <c r="BU164" i="52"/>
  <c r="BV164" i="52" s="1"/>
  <c r="BU135" i="52"/>
  <c r="BV135" i="52" s="1"/>
  <c r="BU127" i="52"/>
  <c r="BV127" i="52" s="1"/>
  <c r="O8" i="88"/>
  <c r="N8" i="100"/>
  <c r="D167" i="41"/>
  <c r="D168" i="41" s="1"/>
  <c r="G149" i="41"/>
  <c r="F167" i="41"/>
  <c r="F168" i="41" s="1"/>
  <c r="K149" i="41"/>
  <c r="J167" i="41"/>
  <c r="J168" i="41" s="1"/>
  <c r="L167" i="41"/>
  <c r="L168" i="41" s="1"/>
  <c r="E149" i="41"/>
  <c r="B148" i="41"/>
  <c r="H167" i="41"/>
  <c r="H168" i="41" s="1"/>
  <c r="M149" i="41"/>
  <c r="I149" i="41"/>
  <c r="P83" i="97"/>
  <c r="P67" i="97"/>
  <c r="BR135" i="59"/>
  <c r="BR17" i="59"/>
  <c r="BR11" i="59"/>
  <c r="BU75" i="59"/>
  <c r="BU104" i="59"/>
  <c r="BU129" i="52"/>
  <c r="BV129" i="52" s="1"/>
  <c r="BU10" i="52"/>
  <c r="BV10" i="52" s="1"/>
  <c r="BU98" i="52"/>
  <c r="BV98" i="52" s="1"/>
  <c r="BR40" i="59"/>
  <c r="BR157" i="59"/>
  <c r="BR37" i="59"/>
  <c r="BR73" i="59"/>
  <c r="BR46" i="59"/>
  <c r="BR108" i="59"/>
  <c r="BU71" i="55"/>
  <c r="BV71" i="55" s="1"/>
  <c r="BU135" i="55"/>
  <c r="BV135" i="55" s="1"/>
  <c r="BU127" i="55"/>
  <c r="P19" i="96"/>
  <c r="P75" i="96"/>
  <c r="P77" i="96"/>
  <c r="P97" i="97"/>
  <c r="P18" i="97"/>
  <c r="P21" i="97"/>
  <c r="P68" i="97"/>
  <c r="P86" i="97"/>
  <c r="P10" i="97"/>
  <c r="P61" i="97"/>
  <c r="P7" i="97"/>
  <c r="P81" i="97"/>
  <c r="P70" i="97"/>
  <c r="P12" i="97"/>
  <c r="P51" i="97"/>
  <c r="P80" i="97"/>
  <c r="BR160" i="59"/>
  <c r="BU107" i="59"/>
  <c r="BU75" i="57"/>
  <c r="BV75" i="57" s="1"/>
  <c r="BU167" i="57"/>
  <c r="BV167" i="57" s="1"/>
  <c r="BU103" i="57"/>
  <c r="BV103" i="57" s="1"/>
  <c r="BU107" i="57"/>
  <c r="BV107" i="57" s="1"/>
  <c r="BU137" i="57"/>
  <c r="BV137" i="57" s="1"/>
  <c r="BU164" i="57"/>
  <c r="BV164" i="57" s="1"/>
  <c r="BU166" i="57"/>
  <c r="BV166" i="57" s="1"/>
  <c r="BU135" i="57"/>
  <c r="BV135" i="57" s="1"/>
  <c r="BU160" i="57"/>
  <c r="BV160" i="57" s="1"/>
  <c r="BU40" i="57"/>
  <c r="BU106" i="57"/>
  <c r="BV106" i="57" s="1"/>
  <c r="BU9" i="57"/>
  <c r="BV9" i="57" s="1"/>
  <c r="BU13" i="57"/>
  <c r="BV13" i="57" s="1"/>
  <c r="BU42" i="57"/>
  <c r="BV42" i="57" s="1"/>
  <c r="BU162" i="57"/>
  <c r="BV162" i="57" s="1"/>
  <c r="BU14" i="57"/>
  <c r="BV14" i="57" s="1"/>
  <c r="BU77" i="57"/>
  <c r="BV77" i="57" s="1"/>
  <c r="BU138" i="57"/>
  <c r="BV138" i="57" s="1"/>
  <c r="BU129" i="57"/>
  <c r="BV129" i="57" s="1"/>
  <c r="BU74" i="57"/>
  <c r="BV74" i="57" s="1"/>
  <c r="BU104" i="57"/>
  <c r="BV104" i="57" s="1"/>
  <c r="BU136" i="57"/>
  <c r="BV136" i="57" s="1"/>
  <c r="BU158" i="57"/>
  <c r="BV158" i="57" s="1"/>
  <c r="BU133" i="57"/>
  <c r="BV133" i="57" s="1"/>
  <c r="BU163" i="57"/>
  <c r="BV163" i="57" s="1"/>
  <c r="BU46" i="57"/>
  <c r="BV46" i="57" s="1"/>
  <c r="BU45" i="57"/>
  <c r="BV45" i="57" s="1"/>
  <c r="BU134" i="57"/>
  <c r="BV134" i="57" s="1"/>
  <c r="BU168" i="57"/>
  <c r="BV168" i="57" s="1"/>
  <c r="BU157" i="57"/>
  <c r="BV157" i="57" s="1"/>
  <c r="BU97" i="57"/>
  <c r="BV97" i="57" s="1"/>
  <c r="BU127" i="57"/>
  <c r="BV127" i="57" s="1"/>
  <c r="BU72" i="57"/>
  <c r="BV72" i="57" s="1"/>
  <c r="BU165" i="57"/>
  <c r="BV165" i="57" s="1"/>
  <c r="BU67" i="57"/>
  <c r="BV67" i="57" s="1"/>
  <c r="BU43" i="57"/>
  <c r="BV43" i="57" s="1"/>
  <c r="BU17" i="57"/>
  <c r="BV17" i="57" s="1"/>
  <c r="BU38" i="57"/>
  <c r="BV38" i="57" s="1"/>
  <c r="BU161" i="57"/>
  <c r="BV161" i="57" s="1"/>
  <c r="BU11" i="57"/>
  <c r="BV11" i="57" s="1"/>
  <c r="BU159" i="57"/>
  <c r="BV159" i="57" s="1"/>
  <c r="BU131" i="57"/>
  <c r="BV131" i="57" s="1"/>
  <c r="BU128" i="57"/>
  <c r="BV128" i="57" s="1"/>
  <c r="BU10" i="57"/>
  <c r="BV10" i="57" s="1"/>
  <c r="BU7" i="57"/>
  <c r="BV7" i="57" s="1"/>
  <c r="BU100" i="57"/>
  <c r="BV100" i="57" s="1"/>
  <c r="BU12" i="57"/>
  <c r="BV12" i="57" s="1"/>
  <c r="BU68" i="57"/>
  <c r="BV68" i="57" s="1"/>
  <c r="BU41" i="57"/>
  <c r="BV41" i="57" s="1"/>
  <c r="BU130" i="57"/>
  <c r="BV130" i="57" s="1"/>
  <c r="BU44" i="57"/>
  <c r="BV44" i="57" s="1"/>
  <c r="BU8" i="57"/>
  <c r="BV8" i="57" s="1"/>
  <c r="BU108" i="57"/>
  <c r="BV108" i="57" s="1"/>
  <c r="BU102" i="57"/>
  <c r="BV102" i="57" s="1"/>
  <c r="BU18" i="57"/>
  <c r="BV18" i="57" s="1"/>
  <c r="BU16" i="57"/>
  <c r="BV16" i="57" s="1"/>
  <c r="BU39" i="57"/>
  <c r="BV39" i="57" s="1"/>
  <c r="BU15" i="57"/>
  <c r="BV15" i="57" s="1"/>
  <c r="BU70" i="57"/>
  <c r="BV70" i="57" s="1"/>
  <c r="BU105" i="57"/>
  <c r="BV105" i="57" s="1"/>
  <c r="BU69" i="57"/>
  <c r="BV69" i="57" s="1"/>
  <c r="BU98" i="57"/>
  <c r="BV98" i="57" s="1"/>
  <c r="BU37" i="57"/>
  <c r="BV37" i="57" s="1"/>
  <c r="BU76" i="57"/>
  <c r="BV76" i="57" s="1"/>
  <c r="BU101" i="57"/>
  <c r="BV101" i="57" s="1"/>
  <c r="BU71" i="57"/>
  <c r="BV71" i="57" s="1"/>
  <c r="BU47" i="57"/>
  <c r="BV47" i="57" s="1"/>
  <c r="BU73" i="57"/>
  <c r="BV73" i="57" s="1"/>
  <c r="BU48" i="57"/>
  <c r="BV48" i="57" s="1"/>
  <c r="BU132" i="57"/>
  <c r="BV132" i="57" s="1"/>
  <c r="BU99" i="57"/>
  <c r="BV99" i="57" s="1"/>
  <c r="BU78" i="57"/>
  <c r="BV78" i="57" s="1"/>
  <c r="O23" i="88"/>
  <c r="N23" i="100"/>
  <c r="P88" i="97"/>
  <c r="P69" i="97"/>
  <c r="BU17" i="59"/>
  <c r="BR48" i="59"/>
  <c r="BR77" i="59"/>
  <c r="BR43" i="59"/>
  <c r="BU160" i="59"/>
  <c r="BU161" i="59"/>
  <c r="BU102" i="52"/>
  <c r="BV102" i="52" s="1"/>
  <c r="BU13" i="52"/>
  <c r="BV13" i="52" s="1"/>
  <c r="BU161" i="52"/>
  <c r="BV161" i="52" s="1"/>
  <c r="BR168" i="59"/>
  <c r="BR78" i="59"/>
  <c r="BR14" i="59"/>
  <c r="BR101" i="59"/>
  <c r="BR127" i="59"/>
  <c r="M136" i="55"/>
  <c r="BU108" i="55"/>
  <c r="BV108" i="55" s="1"/>
  <c r="BU105" i="55"/>
  <c r="BV105" i="55" s="1"/>
  <c r="BU162" i="55"/>
  <c r="BV162" i="55" s="1"/>
  <c r="P43" i="96"/>
  <c r="P93" i="96"/>
  <c r="P27" i="96"/>
  <c r="P36" i="97"/>
  <c r="P40" i="97"/>
  <c r="P90" i="97"/>
  <c r="P103" i="97"/>
  <c r="P30" i="97"/>
  <c r="P98" i="97"/>
  <c r="P89" i="97"/>
  <c r="P50" i="97"/>
  <c r="P47" i="97"/>
  <c r="P72" i="97"/>
  <c r="BB20" i="52"/>
  <c r="N19" i="52"/>
  <c r="BR138" i="59"/>
  <c r="P22" i="99"/>
  <c r="P75" i="99"/>
  <c r="P20" i="99"/>
  <c r="P14" i="99"/>
  <c r="P62" i="99"/>
  <c r="P29" i="99"/>
  <c r="P18" i="99"/>
  <c r="P83" i="99"/>
  <c r="P45" i="99"/>
  <c r="P64" i="99"/>
  <c r="P8" i="99"/>
  <c r="P54" i="97"/>
  <c r="BU13" i="59"/>
  <c r="M45" i="102"/>
  <c r="BU68" i="59"/>
  <c r="BR167" i="59"/>
  <c r="BR45" i="59"/>
  <c r="BR41" i="59"/>
  <c r="BU101" i="59"/>
  <c r="BU137" i="59"/>
  <c r="BU75" i="52"/>
  <c r="BV75" i="52" s="1"/>
  <c r="BU101" i="52"/>
  <c r="BV101" i="52" s="1"/>
  <c r="BU78" i="52"/>
  <c r="BV78" i="52" s="1"/>
  <c r="BR97" i="59"/>
  <c r="BR164" i="59"/>
  <c r="BR98" i="59"/>
  <c r="BR16" i="59"/>
  <c r="P103" i="96"/>
  <c r="BU104" i="55"/>
  <c r="BV104" i="55" s="1"/>
  <c r="BU18" i="55"/>
  <c r="BV18" i="55" s="1"/>
  <c r="BU161" i="55"/>
  <c r="BV161" i="55" s="1"/>
  <c r="BU8" i="55"/>
  <c r="BV8" i="55" s="1"/>
  <c r="P21" i="96"/>
  <c r="P24" i="96"/>
  <c r="P42" i="97"/>
  <c r="P63" i="97"/>
  <c r="P48" i="97"/>
  <c r="P74" i="97"/>
  <c r="P95" i="97"/>
  <c r="P65" i="97"/>
  <c r="P46" i="97"/>
  <c r="P19" i="97"/>
  <c r="P73" i="97"/>
  <c r="P55" i="97"/>
  <c r="P100" i="97"/>
  <c r="O21" i="95"/>
  <c r="N21" i="100"/>
  <c r="O33" i="88"/>
  <c r="M33" i="100"/>
  <c r="P88" i="99"/>
  <c r="P75" i="97"/>
  <c r="BR38" i="59"/>
  <c r="BR71" i="59"/>
  <c r="BR159" i="59"/>
  <c r="BU130" i="59"/>
  <c r="BU108" i="52"/>
  <c r="BV108" i="52" s="1"/>
  <c r="BU128" i="52"/>
  <c r="BV128" i="52" s="1"/>
  <c r="BU43" i="52"/>
  <c r="BV43" i="52" s="1"/>
  <c r="BR130" i="59"/>
  <c r="BR12" i="59"/>
  <c r="BR100" i="59"/>
  <c r="BR39" i="59"/>
  <c r="BR9" i="59"/>
  <c r="P44" i="96"/>
  <c r="BU76" i="55"/>
  <c r="BV76" i="55" s="1"/>
  <c r="BU97" i="55"/>
  <c r="BV97" i="55" s="1"/>
  <c r="BU43" i="55"/>
  <c r="BV43" i="55" s="1"/>
  <c r="BU98" i="55"/>
  <c r="BV98" i="55" s="1"/>
  <c r="P81" i="96"/>
  <c r="P86" i="96"/>
  <c r="P24" i="97"/>
  <c r="P92" i="97"/>
  <c r="P28" i="97"/>
  <c r="P11" i="97"/>
  <c r="P4" i="97"/>
  <c r="P43" i="97"/>
  <c r="P59" i="97"/>
  <c r="P77" i="97"/>
  <c r="P78" i="97"/>
  <c r="P79" i="97"/>
  <c r="P71" i="97"/>
  <c r="BU47" i="59"/>
  <c r="BU7" i="59"/>
  <c r="BU12" i="59"/>
  <c r="BU69" i="59"/>
  <c r="BU77" i="59"/>
  <c r="BU108" i="59"/>
  <c r="BU45" i="59"/>
  <c r="BU105" i="59"/>
  <c r="BU38" i="59"/>
  <c r="BU71" i="59"/>
  <c r="BU103" i="59"/>
  <c r="BU43" i="59"/>
  <c r="BU16" i="59"/>
  <c r="BU168" i="59"/>
  <c r="BU106" i="59"/>
  <c r="BU15" i="59"/>
  <c r="BU99" i="59"/>
  <c r="BU133" i="59"/>
  <c r="BU41" i="59"/>
  <c r="BU46" i="59"/>
  <c r="BU158" i="59"/>
  <c r="BU97" i="59"/>
  <c r="BU164" i="59"/>
  <c r="BU100" i="59"/>
  <c r="BU131" i="59"/>
  <c r="BU73" i="59"/>
  <c r="BU128" i="59"/>
  <c r="BU48" i="59"/>
  <c r="BU163" i="59"/>
  <c r="BU74" i="59"/>
  <c r="BU165" i="59"/>
  <c r="BU159" i="59"/>
  <c r="BU42" i="59"/>
  <c r="BU98" i="59"/>
  <c r="BU9" i="59"/>
  <c r="BU78" i="59"/>
  <c r="BU72" i="59"/>
  <c r="BU136" i="59"/>
  <c r="BU76" i="59"/>
  <c r="BU167" i="59"/>
  <c r="BU127" i="59"/>
  <c r="BU166" i="59"/>
  <c r="BU162" i="59"/>
  <c r="BU134" i="59"/>
  <c r="BU132" i="59"/>
  <c r="BU102" i="59"/>
  <c r="BU10" i="59"/>
  <c r="BU11" i="59"/>
  <c r="BU44" i="59"/>
  <c r="BU67" i="59"/>
  <c r="BU14" i="59"/>
  <c r="BU138" i="59"/>
  <c r="BU18" i="59"/>
  <c r="BR104" i="59"/>
  <c r="BR10" i="59"/>
  <c r="O29" i="100"/>
  <c r="N29" i="101"/>
  <c r="P49" i="97"/>
  <c r="P29" i="97"/>
  <c r="M20" i="100"/>
  <c r="O20" i="95"/>
  <c r="P23" i="95" s="1"/>
  <c r="O17" i="88"/>
  <c r="N17" i="100"/>
  <c r="BU130" i="52"/>
  <c r="BV130" i="52" s="1"/>
  <c r="P104" i="97"/>
  <c r="P99" i="97"/>
  <c r="BR132" i="59"/>
  <c r="BR67" i="59"/>
  <c r="BR15" i="59"/>
  <c r="BU157" i="59"/>
  <c r="BU37" i="59"/>
  <c r="BR106" i="59"/>
  <c r="BU168" i="52"/>
  <c r="BV168" i="52" s="1"/>
  <c r="BU46" i="52"/>
  <c r="BV46" i="52" s="1"/>
  <c r="BU45" i="52"/>
  <c r="BV45" i="52" s="1"/>
  <c r="BR75" i="59"/>
  <c r="BR103" i="59"/>
  <c r="BR162" i="59"/>
  <c r="BR165" i="59"/>
  <c r="BR99" i="59"/>
  <c r="E136" i="58"/>
  <c r="M16" i="103"/>
  <c r="O16" i="102"/>
  <c r="BU167" i="55"/>
  <c r="BV167" i="55" s="1"/>
  <c r="BU101" i="55"/>
  <c r="BV101" i="55" s="1"/>
  <c r="BU48" i="55"/>
  <c r="BV48" i="55" s="1"/>
  <c r="BU107" i="55"/>
  <c r="BV107" i="55" s="1"/>
  <c r="P67" i="96"/>
  <c r="P95" i="96"/>
  <c r="P49" i="96"/>
  <c r="P9" i="97"/>
  <c r="P13" i="97"/>
  <c r="P32" i="97"/>
  <c r="P6" i="97"/>
  <c r="P84" i="97"/>
  <c r="P41" i="97"/>
  <c r="P33" i="97"/>
  <c r="P25" i="97"/>
  <c r="P5" i="97"/>
  <c r="P37" i="97"/>
  <c r="P14" i="97"/>
  <c r="BR136" i="59"/>
  <c r="O24" i="98"/>
  <c r="N24" i="103"/>
  <c r="P42" i="95"/>
  <c r="P41" i="95"/>
  <c r="P57" i="95"/>
  <c r="P71" i="95"/>
  <c r="P66" i="95"/>
  <c r="P58" i="95"/>
  <c r="P30" i="95"/>
  <c r="P70" i="95"/>
  <c r="P97" i="95"/>
  <c r="P53" i="95"/>
  <c r="P17" i="95"/>
  <c r="P59" i="95"/>
  <c r="P36" i="95"/>
  <c r="P93" i="95"/>
  <c r="BU137" i="55"/>
  <c r="BV137" i="55" s="1"/>
  <c r="BU102" i="55"/>
  <c r="BV102" i="55" s="1"/>
  <c r="BU44" i="55"/>
  <c r="BV44" i="55" s="1"/>
  <c r="BU75" i="55"/>
  <c r="BV75" i="55" s="1"/>
  <c r="BU160" i="55"/>
  <c r="BV160" i="55" s="1"/>
  <c r="BU159" i="55"/>
  <c r="BV159" i="55" s="1"/>
  <c r="BU103" i="55"/>
  <c r="BV103" i="55" s="1"/>
  <c r="BU11" i="55"/>
  <c r="BV11" i="55" s="1"/>
  <c r="BU47" i="55"/>
  <c r="BV47" i="55" s="1"/>
  <c r="BU133" i="55"/>
  <c r="BV133" i="55" s="1"/>
  <c r="BU10" i="55"/>
  <c r="BV10" i="55" s="1"/>
  <c r="BU136" i="55"/>
  <c r="BV136" i="55" s="1"/>
  <c r="BU41" i="55"/>
  <c r="BV41" i="55" s="1"/>
  <c r="BU166" i="55"/>
  <c r="BV166" i="55" s="1"/>
  <c r="BU129" i="55"/>
  <c r="BV129" i="55" s="1"/>
  <c r="BU164" i="55"/>
  <c r="BV164" i="55" s="1"/>
  <c r="BU68" i="55"/>
  <c r="BV68" i="55" s="1"/>
  <c r="BU106" i="55"/>
  <c r="BV106" i="55" s="1"/>
  <c r="BU157" i="55"/>
  <c r="BV157" i="55" s="1"/>
  <c r="BU99" i="55"/>
  <c r="BV99" i="55" s="1"/>
  <c r="BU132" i="55"/>
  <c r="BV132" i="55" s="1"/>
  <c r="BU130" i="55"/>
  <c r="BV130" i="55" s="1"/>
  <c r="BU134" i="55"/>
  <c r="BV134" i="55" s="1"/>
  <c r="BU77" i="55"/>
  <c r="BV77" i="55" s="1"/>
  <c r="BU131" i="55"/>
  <c r="BV131" i="55" s="1"/>
  <c r="BU158" i="55"/>
  <c r="BV158" i="55" s="1"/>
  <c r="BU38" i="55"/>
  <c r="BV38" i="55" s="1"/>
  <c r="BU165" i="55"/>
  <c r="BV165" i="55" s="1"/>
  <c r="BU45" i="55"/>
  <c r="BV45" i="55" s="1"/>
  <c r="BU69" i="55"/>
  <c r="BV69" i="55" s="1"/>
  <c r="BU128" i="55"/>
  <c r="BV128" i="55" s="1"/>
  <c r="BU15" i="55"/>
  <c r="BV15" i="55" s="1"/>
  <c r="BU163" i="55"/>
  <c r="BV163" i="55" s="1"/>
  <c r="BU72" i="55"/>
  <c r="BV72" i="55" s="1"/>
  <c r="BU138" i="55"/>
  <c r="BV138" i="55" s="1"/>
  <c r="BU37" i="55"/>
  <c r="BV37" i="55" s="1"/>
  <c r="BU100" i="55"/>
  <c r="BV100" i="55" s="1"/>
  <c r="BU67" i="55"/>
  <c r="BV67" i="55" s="1"/>
  <c r="BU136" i="52"/>
  <c r="N109" i="52"/>
  <c r="BB110" i="52"/>
  <c r="P72" i="99"/>
  <c r="BR102" i="59"/>
  <c r="P76" i="97"/>
  <c r="BR163" i="59"/>
  <c r="BR133" i="59"/>
  <c r="BR47" i="59"/>
  <c r="BR107" i="59"/>
  <c r="BU135" i="59"/>
  <c r="BU70" i="59"/>
  <c r="BU41" i="52"/>
  <c r="BV41" i="52" s="1"/>
  <c r="BU17" i="52"/>
  <c r="BV17" i="52" s="1"/>
  <c r="BR8" i="59"/>
  <c r="BR68" i="59"/>
  <c r="BR158" i="59"/>
  <c r="BR69" i="59"/>
  <c r="BR105" i="59"/>
  <c r="BU13" i="55"/>
  <c r="BU73" i="55"/>
  <c r="BV73" i="55" s="1"/>
  <c r="BU7" i="55"/>
  <c r="BV7" i="55" s="1"/>
  <c r="BU70" i="55"/>
  <c r="BV70" i="55" s="1"/>
  <c r="BU16" i="55"/>
  <c r="BV16" i="55" s="1"/>
  <c r="P90" i="96"/>
  <c r="P71" i="96"/>
  <c r="P61" i="96"/>
  <c r="P93" i="97"/>
  <c r="P87" i="97"/>
  <c r="P38" i="97"/>
  <c r="P20" i="97"/>
  <c r="P64" i="97"/>
  <c r="P91" i="97"/>
  <c r="P16" i="97"/>
  <c r="P23" i="97"/>
  <c r="P44" i="97"/>
  <c r="P34" i="97"/>
  <c r="P102" i="97"/>
  <c r="P26" i="97"/>
  <c r="O37" i="104" l="1"/>
  <c r="O15" i="103"/>
  <c r="O37" i="103"/>
  <c r="AB79" i="58"/>
  <c r="K79" i="58" s="1"/>
  <c r="O28" i="103"/>
  <c r="Z79" i="58"/>
  <c r="I79" i="58" s="1"/>
  <c r="O32" i="103"/>
  <c r="O42" i="103"/>
  <c r="BV42" i="58"/>
  <c r="O10" i="103"/>
  <c r="BV12" i="58"/>
  <c r="O44" i="103"/>
  <c r="O12" i="104"/>
  <c r="BV14" i="58"/>
  <c r="O43" i="103"/>
  <c r="O43" i="104"/>
  <c r="N30" i="104"/>
  <c r="O30" i="104" s="1"/>
  <c r="O30" i="103"/>
  <c r="O13" i="103"/>
  <c r="N13" i="104"/>
  <c r="O13" i="104" s="1"/>
  <c r="BV165" i="58"/>
  <c r="O44" i="104"/>
  <c r="BV136" i="58"/>
  <c r="BV158" i="58"/>
  <c r="BV105" i="58"/>
  <c r="BV78" i="58"/>
  <c r="BV97" i="58"/>
  <c r="BV167" i="58"/>
  <c r="BV106" i="58"/>
  <c r="O36" i="103"/>
  <c r="N36" i="104"/>
  <c r="O36" i="104" s="1"/>
  <c r="AB19" i="58"/>
  <c r="K19" i="58" s="1"/>
  <c r="P89" i="98"/>
  <c r="O3" i="103"/>
  <c r="O12" i="103"/>
  <c r="N45" i="104"/>
  <c r="BV17" i="58"/>
  <c r="BV135" i="58"/>
  <c r="BV107" i="58"/>
  <c r="BV15" i="58"/>
  <c r="BV138" i="58"/>
  <c r="BV74" i="58"/>
  <c r="BV134" i="58"/>
  <c r="BV41" i="58"/>
  <c r="BV133" i="58"/>
  <c r="BV73" i="58"/>
  <c r="BV46" i="58"/>
  <c r="BV44" i="58"/>
  <c r="BV69" i="58"/>
  <c r="BV71" i="58"/>
  <c r="BV77" i="58"/>
  <c r="BV76" i="58"/>
  <c r="BV75" i="58"/>
  <c r="BV37" i="58"/>
  <c r="BV101" i="58"/>
  <c r="BV131" i="58"/>
  <c r="BV11" i="58"/>
  <c r="BV168" i="58"/>
  <c r="BV48" i="58"/>
  <c r="BV39" i="58"/>
  <c r="BV137" i="58"/>
  <c r="BV132" i="58"/>
  <c r="BV129" i="58"/>
  <c r="BV13" i="58"/>
  <c r="BV47" i="58"/>
  <c r="BV10" i="58"/>
  <c r="BV18" i="58"/>
  <c r="BV108" i="58"/>
  <c r="BV164" i="58"/>
  <c r="BV103" i="58"/>
  <c r="BV72" i="58"/>
  <c r="BV7" i="58"/>
  <c r="BV68" i="58"/>
  <c r="BV70" i="58"/>
  <c r="BV166" i="58"/>
  <c r="BV40" i="58"/>
  <c r="BV8" i="58"/>
  <c r="BV160" i="58"/>
  <c r="BV67" i="58"/>
  <c r="BV43" i="58"/>
  <c r="BV38" i="58"/>
  <c r="BV162" i="58"/>
  <c r="BV100" i="58"/>
  <c r="BV104" i="58"/>
  <c r="BV159" i="58"/>
  <c r="BV157" i="58"/>
  <c r="BV99" i="58"/>
  <c r="BV163" i="58"/>
  <c r="BR132" i="58"/>
  <c r="BV161" i="58"/>
  <c r="BV16" i="58"/>
  <c r="BV127" i="58"/>
  <c r="BV9" i="58"/>
  <c r="BV45" i="58"/>
  <c r="BV102" i="58"/>
  <c r="BV128" i="58"/>
  <c r="BV98" i="58"/>
  <c r="BV130" i="58"/>
  <c r="AD79" i="58"/>
  <c r="AD80" i="58" s="1"/>
  <c r="M80" i="58" s="1"/>
  <c r="D59" i="58"/>
  <c r="F29" i="58"/>
  <c r="M32" i="104"/>
  <c r="O32" i="104" s="1"/>
  <c r="AB49" i="58"/>
  <c r="K49" i="58" s="1"/>
  <c r="AF160" i="58"/>
  <c r="O160" i="58" s="1"/>
  <c r="G109" i="58"/>
  <c r="BV167" i="59"/>
  <c r="P3" i="95"/>
  <c r="P15" i="95"/>
  <c r="P19" i="95"/>
  <c r="M38" i="104"/>
  <c r="O38" i="104" s="1"/>
  <c r="O38" i="103"/>
  <c r="BR69" i="53"/>
  <c r="BR165" i="53"/>
  <c r="BR16" i="53"/>
  <c r="BR39" i="53"/>
  <c r="BR138" i="53"/>
  <c r="BR14" i="53"/>
  <c r="BR136" i="53"/>
  <c r="BR97" i="53"/>
  <c r="BR71" i="53"/>
  <c r="BR43" i="57"/>
  <c r="BR15" i="57"/>
  <c r="BR100" i="57"/>
  <c r="BR107" i="57"/>
  <c r="BR18" i="57"/>
  <c r="BR103" i="57"/>
  <c r="BR133" i="57"/>
  <c r="BR11" i="57"/>
  <c r="BR163" i="57"/>
  <c r="O35" i="100"/>
  <c r="M35" i="101"/>
  <c r="BR47" i="52"/>
  <c r="BR98" i="52"/>
  <c r="BR76" i="52"/>
  <c r="BR137" i="52"/>
  <c r="BR132" i="52"/>
  <c r="BR73" i="52"/>
  <c r="BR72" i="52"/>
  <c r="BR103" i="52"/>
  <c r="BR165" i="58"/>
  <c r="BR71" i="58"/>
  <c r="BR17" i="58"/>
  <c r="BR131" i="58"/>
  <c r="BR136" i="58"/>
  <c r="BR75" i="58"/>
  <c r="BR44" i="58"/>
  <c r="BR74" i="58"/>
  <c r="BR41" i="58"/>
  <c r="P62" i="95"/>
  <c r="P69" i="95"/>
  <c r="P90" i="95"/>
  <c r="BR13" i="53"/>
  <c r="BR130" i="53"/>
  <c r="BR131" i="53"/>
  <c r="BR48" i="53"/>
  <c r="BR42" i="53"/>
  <c r="BR160" i="53"/>
  <c r="BR38" i="53"/>
  <c r="BR167" i="53"/>
  <c r="O5" i="100"/>
  <c r="N5" i="101"/>
  <c r="O19" i="100"/>
  <c r="N19" i="101"/>
  <c r="BR68" i="57"/>
  <c r="BR67" i="57"/>
  <c r="BR102" i="57"/>
  <c r="BR137" i="57"/>
  <c r="BR167" i="57"/>
  <c r="BR39" i="57"/>
  <c r="BR13" i="57"/>
  <c r="BR106" i="57"/>
  <c r="BR42" i="57"/>
  <c r="N40" i="103"/>
  <c r="O40" i="102"/>
  <c r="BR73" i="53"/>
  <c r="BR102" i="52"/>
  <c r="BR101" i="52"/>
  <c r="BR163" i="52"/>
  <c r="BR128" i="52"/>
  <c r="BR106" i="52"/>
  <c r="BR168" i="52"/>
  <c r="BR74" i="52"/>
  <c r="BR164" i="52"/>
  <c r="BR7" i="52"/>
  <c r="BR157" i="52"/>
  <c r="BR100" i="58"/>
  <c r="BR14" i="58"/>
  <c r="BR18" i="58"/>
  <c r="BR67" i="58"/>
  <c r="BR37" i="58"/>
  <c r="BR130" i="58"/>
  <c r="BR98" i="58"/>
  <c r="BR73" i="58"/>
  <c r="BR163" i="53"/>
  <c r="BR72" i="53"/>
  <c r="BR104" i="53"/>
  <c r="BR9" i="53"/>
  <c r="BR164" i="53"/>
  <c r="BR70" i="53"/>
  <c r="BR101" i="53"/>
  <c r="BR40" i="53"/>
  <c r="BR98" i="53"/>
  <c r="BR100" i="53"/>
  <c r="BR163" i="58"/>
  <c r="M41" i="102"/>
  <c r="O41" i="101"/>
  <c r="BR7" i="57"/>
  <c r="BR128" i="57"/>
  <c r="BR104" i="57"/>
  <c r="BR97" i="57"/>
  <c r="BR69" i="57"/>
  <c r="BR71" i="57"/>
  <c r="BR14" i="57"/>
  <c r="BR73" i="57"/>
  <c r="BR72" i="57"/>
  <c r="BR102" i="58"/>
  <c r="BR39" i="52"/>
  <c r="BR138" i="52"/>
  <c r="BR75" i="52"/>
  <c r="BR135" i="52"/>
  <c r="BR130" i="52"/>
  <c r="BR69" i="52"/>
  <c r="BR44" i="52"/>
  <c r="BR160" i="52"/>
  <c r="BR72" i="58"/>
  <c r="BR164" i="58"/>
  <c r="BR107" i="58"/>
  <c r="BR135" i="58"/>
  <c r="BR104" i="58"/>
  <c r="BR160" i="58"/>
  <c r="BR129" i="58"/>
  <c r="BR157" i="58"/>
  <c r="BV8" i="59"/>
  <c r="AF163" i="55"/>
  <c r="O163" i="55" s="1"/>
  <c r="BR157" i="53"/>
  <c r="BR47" i="53"/>
  <c r="BR161" i="53"/>
  <c r="BR45" i="53"/>
  <c r="BR18" i="53"/>
  <c r="BR17" i="53"/>
  <c r="BR37" i="53"/>
  <c r="BR74" i="53"/>
  <c r="O14" i="100"/>
  <c r="M14" i="101"/>
  <c r="O39" i="103"/>
  <c r="N39" i="104"/>
  <c r="O39" i="104" s="1"/>
  <c r="BR130" i="57"/>
  <c r="BR135" i="57"/>
  <c r="BR162" i="57"/>
  <c r="BR70" i="57"/>
  <c r="BR166" i="57"/>
  <c r="BR99" i="57"/>
  <c r="BR164" i="57"/>
  <c r="BR8" i="57"/>
  <c r="BR97" i="52"/>
  <c r="BR10" i="52"/>
  <c r="BR43" i="52"/>
  <c r="BR104" i="52"/>
  <c r="BR78" i="52"/>
  <c r="BR15" i="52"/>
  <c r="BR99" i="52"/>
  <c r="BR167" i="52"/>
  <c r="BR17" i="52"/>
  <c r="BR138" i="58"/>
  <c r="BR46" i="58"/>
  <c r="BR70" i="58"/>
  <c r="BR77" i="58"/>
  <c r="BR43" i="58"/>
  <c r="BR9" i="58"/>
  <c r="BR12" i="58"/>
  <c r="BR39" i="58"/>
  <c r="P25" i="95"/>
  <c r="P2" i="95"/>
  <c r="P65" i="95"/>
  <c r="X50" i="53"/>
  <c r="G50" i="53" s="1"/>
  <c r="X19" i="55"/>
  <c r="G19" i="55" s="1"/>
  <c r="N34" i="103"/>
  <c r="O34" i="102"/>
  <c r="BR77" i="53"/>
  <c r="BR127" i="53"/>
  <c r="BR129" i="53"/>
  <c r="BR99" i="53"/>
  <c r="BR137" i="53"/>
  <c r="BR75" i="53"/>
  <c r="BR132" i="53"/>
  <c r="BR108" i="53"/>
  <c r="BR168" i="53"/>
  <c r="BR103" i="53"/>
  <c r="BR78" i="57"/>
  <c r="BR136" i="57"/>
  <c r="BR101" i="57"/>
  <c r="BR45" i="57"/>
  <c r="BR48" i="57"/>
  <c r="BR77" i="57"/>
  <c r="BR132" i="57"/>
  <c r="BR161" i="57"/>
  <c r="N2" i="101"/>
  <c r="O2" i="100"/>
  <c r="BR127" i="52"/>
  <c r="BR165" i="52"/>
  <c r="BR38" i="52"/>
  <c r="BR100" i="52"/>
  <c r="BR41" i="52"/>
  <c r="BR71" i="52"/>
  <c r="BR159" i="52"/>
  <c r="BR14" i="52"/>
  <c r="BR68" i="58"/>
  <c r="BR47" i="58"/>
  <c r="BR8" i="58"/>
  <c r="BR13" i="58"/>
  <c r="BR162" i="58"/>
  <c r="BR101" i="58"/>
  <c r="BR97" i="58"/>
  <c r="BR168" i="58"/>
  <c r="BR7" i="58"/>
  <c r="BR12" i="53"/>
  <c r="BR134" i="53"/>
  <c r="BR166" i="53"/>
  <c r="BR15" i="53"/>
  <c r="BR76" i="53"/>
  <c r="BR68" i="53"/>
  <c r="BR8" i="53"/>
  <c r="BR43" i="53"/>
  <c r="BR76" i="58"/>
  <c r="O7" i="101"/>
  <c r="N7" i="102"/>
  <c r="M85" i="100"/>
  <c r="M86" i="100"/>
  <c r="M58" i="100"/>
  <c r="M75" i="100"/>
  <c r="M63" i="100"/>
  <c r="M57" i="100"/>
  <c r="M74" i="100"/>
  <c r="M95" i="100"/>
  <c r="M78" i="100"/>
  <c r="M69" i="100"/>
  <c r="M90" i="100"/>
  <c r="M104" i="100"/>
  <c r="M52" i="100"/>
  <c r="M67" i="100"/>
  <c r="M99" i="100"/>
  <c r="M87" i="100"/>
  <c r="M56" i="100"/>
  <c r="M55" i="100"/>
  <c r="M62" i="100"/>
  <c r="M71" i="100"/>
  <c r="M81" i="100"/>
  <c r="M102" i="100"/>
  <c r="M94" i="100"/>
  <c r="M54" i="100"/>
  <c r="M46" i="100"/>
  <c r="M72" i="100"/>
  <c r="M92" i="100"/>
  <c r="M59" i="100"/>
  <c r="M84" i="100"/>
  <c r="M61" i="100"/>
  <c r="M89" i="100"/>
  <c r="M68" i="100"/>
  <c r="M91" i="100"/>
  <c r="M100" i="100"/>
  <c r="M103" i="100"/>
  <c r="M70" i="100"/>
  <c r="M60" i="100"/>
  <c r="M50" i="100"/>
  <c r="M97" i="100"/>
  <c r="M83" i="100"/>
  <c r="M80" i="100"/>
  <c r="M65" i="100"/>
  <c r="M64" i="100"/>
  <c r="M88" i="100"/>
  <c r="M51" i="100"/>
  <c r="M96" i="100"/>
  <c r="M77" i="100"/>
  <c r="M101" i="100"/>
  <c r="M79" i="100"/>
  <c r="M66" i="100"/>
  <c r="M82" i="100"/>
  <c r="M76" i="100"/>
  <c r="M49" i="100"/>
  <c r="M73" i="100"/>
  <c r="M98" i="100"/>
  <c r="M93" i="100"/>
  <c r="M47" i="100"/>
  <c r="M53" i="100"/>
  <c r="M48" i="100"/>
  <c r="BR38" i="57"/>
  <c r="BR129" i="57"/>
  <c r="BR108" i="57"/>
  <c r="BR159" i="57"/>
  <c r="BR138" i="57"/>
  <c r="BR44" i="57"/>
  <c r="BR131" i="57"/>
  <c r="BR127" i="57"/>
  <c r="BR160" i="57"/>
  <c r="BR13" i="59"/>
  <c r="BR158" i="52"/>
  <c r="BR9" i="52"/>
  <c r="BR18" i="52"/>
  <c r="BR11" i="52"/>
  <c r="BR48" i="52"/>
  <c r="BR68" i="52"/>
  <c r="BR40" i="52"/>
  <c r="BR105" i="52"/>
  <c r="BR12" i="52"/>
  <c r="BR108" i="52"/>
  <c r="BR16" i="52"/>
  <c r="BR105" i="58"/>
  <c r="BR40" i="58"/>
  <c r="BR127" i="58"/>
  <c r="BR106" i="58"/>
  <c r="BR108" i="58"/>
  <c r="BR48" i="58"/>
  <c r="BR166" i="58"/>
  <c r="BR128" i="58"/>
  <c r="BV11" i="59"/>
  <c r="BR135" i="53"/>
  <c r="BR106" i="53"/>
  <c r="BR41" i="53"/>
  <c r="BR102" i="53"/>
  <c r="BR78" i="53"/>
  <c r="BR10" i="53"/>
  <c r="BR158" i="53"/>
  <c r="BR162" i="53"/>
  <c r="O46" i="88"/>
  <c r="P17" i="88" s="1"/>
  <c r="N96" i="100"/>
  <c r="O96" i="100" s="1"/>
  <c r="N62" i="100"/>
  <c r="O62" i="100" s="1"/>
  <c r="N71" i="100"/>
  <c r="O71" i="100" s="1"/>
  <c r="N79" i="100"/>
  <c r="O79" i="100" s="1"/>
  <c r="N69" i="100"/>
  <c r="O69" i="100" s="1"/>
  <c r="N70" i="100"/>
  <c r="O70" i="100" s="1"/>
  <c r="N77" i="100"/>
  <c r="O77" i="100" s="1"/>
  <c r="N100" i="100"/>
  <c r="O100" i="100" s="1"/>
  <c r="N63" i="100"/>
  <c r="O63" i="100" s="1"/>
  <c r="N95" i="100"/>
  <c r="O95" i="100" s="1"/>
  <c r="N98" i="100"/>
  <c r="O98" i="100" s="1"/>
  <c r="N46" i="100"/>
  <c r="N97" i="100"/>
  <c r="O97" i="100" s="1"/>
  <c r="N49" i="100"/>
  <c r="O49" i="100" s="1"/>
  <c r="N65" i="100"/>
  <c r="O65" i="100" s="1"/>
  <c r="N51" i="100"/>
  <c r="O51" i="100" s="1"/>
  <c r="N90" i="100"/>
  <c r="O90" i="100" s="1"/>
  <c r="N91" i="100"/>
  <c r="O91" i="100" s="1"/>
  <c r="N48" i="100"/>
  <c r="O48" i="100" s="1"/>
  <c r="N67" i="100"/>
  <c r="O67" i="100" s="1"/>
  <c r="N89" i="100"/>
  <c r="O89" i="100" s="1"/>
  <c r="N82" i="100"/>
  <c r="O82" i="100" s="1"/>
  <c r="N103" i="100"/>
  <c r="O103" i="100" s="1"/>
  <c r="N86" i="100"/>
  <c r="O86" i="100" s="1"/>
  <c r="N99" i="100"/>
  <c r="O99" i="100" s="1"/>
  <c r="N75" i="100"/>
  <c r="O75" i="100" s="1"/>
  <c r="N57" i="100"/>
  <c r="O57" i="100" s="1"/>
  <c r="N47" i="100"/>
  <c r="O47" i="100" s="1"/>
  <c r="N81" i="100"/>
  <c r="O81" i="100" s="1"/>
  <c r="N58" i="100"/>
  <c r="O58" i="100" s="1"/>
  <c r="N55" i="100"/>
  <c r="O55" i="100" s="1"/>
  <c r="N101" i="100"/>
  <c r="O101" i="100" s="1"/>
  <c r="N85" i="100"/>
  <c r="O85" i="100" s="1"/>
  <c r="N64" i="100"/>
  <c r="O64" i="100" s="1"/>
  <c r="N74" i="100"/>
  <c r="O74" i="100" s="1"/>
  <c r="N94" i="100"/>
  <c r="O94" i="100" s="1"/>
  <c r="N84" i="100"/>
  <c r="O84" i="100" s="1"/>
  <c r="N83" i="100"/>
  <c r="O83" i="100" s="1"/>
  <c r="N102" i="100"/>
  <c r="O102" i="100" s="1"/>
  <c r="N59" i="100"/>
  <c r="O59" i="100" s="1"/>
  <c r="N92" i="100"/>
  <c r="O92" i="100" s="1"/>
  <c r="N80" i="100"/>
  <c r="O80" i="100" s="1"/>
  <c r="N66" i="100"/>
  <c r="O66" i="100" s="1"/>
  <c r="N53" i="100"/>
  <c r="O53" i="100" s="1"/>
  <c r="N54" i="100"/>
  <c r="O54" i="100" s="1"/>
  <c r="N76" i="100"/>
  <c r="O76" i="100" s="1"/>
  <c r="N78" i="100"/>
  <c r="O78" i="100" s="1"/>
  <c r="N88" i="100"/>
  <c r="O88" i="100" s="1"/>
  <c r="N52" i="100"/>
  <c r="O52" i="100" s="1"/>
  <c r="N72" i="100"/>
  <c r="O72" i="100" s="1"/>
  <c r="N61" i="100"/>
  <c r="O61" i="100" s="1"/>
  <c r="N87" i="100"/>
  <c r="O87" i="100" s="1"/>
  <c r="N60" i="100"/>
  <c r="O60" i="100" s="1"/>
  <c r="N73" i="100"/>
  <c r="O73" i="100" s="1"/>
  <c r="N56" i="100"/>
  <c r="O56" i="100" s="1"/>
  <c r="N50" i="100"/>
  <c r="O50" i="100" s="1"/>
  <c r="N93" i="100"/>
  <c r="O93" i="100" s="1"/>
  <c r="N104" i="100"/>
  <c r="O104" i="100" s="1"/>
  <c r="N68" i="100"/>
  <c r="O68" i="100" s="1"/>
  <c r="BR16" i="57"/>
  <c r="BR46" i="57"/>
  <c r="BR47" i="57"/>
  <c r="BR40" i="57"/>
  <c r="BR37" i="57"/>
  <c r="BR17" i="57"/>
  <c r="BR76" i="57"/>
  <c r="BR168" i="57"/>
  <c r="BR9" i="57"/>
  <c r="BR161" i="52"/>
  <c r="BR45" i="52"/>
  <c r="BR107" i="52"/>
  <c r="BR136" i="52"/>
  <c r="BR131" i="52"/>
  <c r="BR37" i="52"/>
  <c r="BR77" i="52"/>
  <c r="BR46" i="52"/>
  <c r="BR38" i="58"/>
  <c r="BR134" i="58"/>
  <c r="BR15" i="58"/>
  <c r="BR69" i="58"/>
  <c r="BR42" i="58"/>
  <c r="BR10" i="58"/>
  <c r="BR11" i="58"/>
  <c r="BR167" i="58"/>
  <c r="BR44" i="59"/>
  <c r="BR133" i="53"/>
  <c r="BR105" i="53"/>
  <c r="BR128" i="53"/>
  <c r="BR7" i="53"/>
  <c r="BR11" i="53"/>
  <c r="BR46" i="53"/>
  <c r="BR67" i="53"/>
  <c r="BR159" i="53"/>
  <c r="BR107" i="53"/>
  <c r="BR133" i="52"/>
  <c r="BR134" i="57"/>
  <c r="BR12" i="57"/>
  <c r="BR98" i="57"/>
  <c r="BR75" i="57"/>
  <c r="BR10" i="57"/>
  <c r="BR165" i="57"/>
  <c r="BR74" i="57"/>
  <c r="BR157" i="57"/>
  <c r="BR105" i="57"/>
  <c r="O25" i="102"/>
  <c r="M25" i="103"/>
  <c r="BR137" i="58"/>
  <c r="BR70" i="52"/>
  <c r="BR13" i="52"/>
  <c r="BR129" i="52"/>
  <c r="BR8" i="52"/>
  <c r="BR42" i="52"/>
  <c r="BR162" i="52"/>
  <c r="BR134" i="52"/>
  <c r="BR67" i="52"/>
  <c r="BR159" i="58"/>
  <c r="BR99" i="58"/>
  <c r="BR158" i="58"/>
  <c r="BR103" i="58"/>
  <c r="BR161" i="58"/>
  <c r="BR78" i="58"/>
  <c r="BR133" i="58"/>
  <c r="BR45" i="58"/>
  <c r="BR16" i="58"/>
  <c r="AF103" i="58"/>
  <c r="O103" i="58" s="1"/>
  <c r="AB139" i="57"/>
  <c r="Z140" i="55"/>
  <c r="I140" i="55" s="1"/>
  <c r="Z169" i="55"/>
  <c r="I169" i="55" s="1"/>
  <c r="AF37" i="53"/>
  <c r="O37" i="53" s="1"/>
  <c r="AF40" i="53"/>
  <c r="O40" i="53" s="1"/>
  <c r="V19" i="55"/>
  <c r="F179" i="53"/>
  <c r="AF97" i="55"/>
  <c r="O97" i="55" s="1"/>
  <c r="AF70" i="55"/>
  <c r="O70" i="55" s="1"/>
  <c r="AF67" i="58"/>
  <c r="O67" i="58" s="1"/>
  <c r="F149" i="55"/>
  <c r="L179" i="53"/>
  <c r="AF157" i="53"/>
  <c r="Z80" i="52"/>
  <c r="I80" i="52" s="1"/>
  <c r="AF10" i="55"/>
  <c r="O10" i="55" s="1"/>
  <c r="L29" i="55"/>
  <c r="AB80" i="55"/>
  <c r="K80" i="55" s="1"/>
  <c r="H149" i="55"/>
  <c r="V109" i="57"/>
  <c r="E109" i="57" s="1"/>
  <c r="AB109" i="58"/>
  <c r="AB110" i="58" s="1"/>
  <c r="K110" i="58" s="1"/>
  <c r="AF136" i="55"/>
  <c r="AF127" i="55"/>
  <c r="O127" i="55" s="1"/>
  <c r="Z49" i="59"/>
  <c r="I49" i="59" s="1"/>
  <c r="AB170" i="58"/>
  <c r="K170" i="58" s="1"/>
  <c r="L179" i="58"/>
  <c r="AF136" i="58"/>
  <c r="O136" i="58" s="1"/>
  <c r="F89" i="58"/>
  <c r="X20" i="55"/>
  <c r="G20" i="55" s="1"/>
  <c r="AF133" i="55"/>
  <c r="O133" i="55" s="1"/>
  <c r="J179" i="53"/>
  <c r="AF43" i="52"/>
  <c r="O43" i="52" s="1"/>
  <c r="AD140" i="55"/>
  <c r="M140" i="55" s="1"/>
  <c r="AF163" i="59"/>
  <c r="O163" i="59" s="1"/>
  <c r="AD109" i="52"/>
  <c r="M109" i="52" s="1"/>
  <c r="AF106" i="55"/>
  <c r="O106" i="55" s="1"/>
  <c r="H29" i="59"/>
  <c r="AD80" i="53"/>
  <c r="M80" i="53" s="1"/>
  <c r="AF76" i="58"/>
  <c r="O76" i="58" s="1"/>
  <c r="AF166" i="53"/>
  <c r="O166" i="53" s="1"/>
  <c r="K109" i="52"/>
  <c r="AB110" i="52"/>
  <c r="K110" i="52" s="1"/>
  <c r="M139" i="52"/>
  <c r="AD140" i="52"/>
  <c r="M140" i="52" s="1"/>
  <c r="AF133" i="52"/>
  <c r="O133" i="52" s="1"/>
  <c r="E133" i="52"/>
  <c r="F119" i="53"/>
  <c r="X109" i="53"/>
  <c r="G109" i="53" s="1"/>
  <c r="L179" i="52"/>
  <c r="AD169" i="52"/>
  <c r="M169" i="52" s="1"/>
  <c r="E97" i="58"/>
  <c r="AF97" i="58"/>
  <c r="O97" i="58" s="1"/>
  <c r="Z49" i="57"/>
  <c r="I49" i="57" s="1"/>
  <c r="H59" i="57"/>
  <c r="AD139" i="58"/>
  <c r="M139" i="58" s="1"/>
  <c r="L149" i="58"/>
  <c r="G37" i="55"/>
  <c r="AF40" i="52"/>
  <c r="O40" i="52" s="1"/>
  <c r="G40" i="52"/>
  <c r="AB19" i="53"/>
  <c r="K19" i="53" s="1"/>
  <c r="J29" i="53"/>
  <c r="M67" i="57"/>
  <c r="G67" i="52"/>
  <c r="F179" i="57"/>
  <c r="X169" i="57"/>
  <c r="G169" i="57" s="1"/>
  <c r="E103" i="57"/>
  <c r="AF103" i="57"/>
  <c r="O103" i="57" s="1"/>
  <c r="G97" i="52"/>
  <c r="H29" i="55"/>
  <c r="Z19" i="55"/>
  <c r="I19" i="55" s="1"/>
  <c r="D149" i="57"/>
  <c r="V139" i="57"/>
  <c r="E139" i="57" s="1"/>
  <c r="F149" i="52"/>
  <c r="X139" i="52"/>
  <c r="G139" i="52" s="1"/>
  <c r="I157" i="59"/>
  <c r="V50" i="58"/>
  <c r="E50" i="58" s="1"/>
  <c r="M157" i="52"/>
  <c r="AD109" i="58"/>
  <c r="M109" i="58" s="1"/>
  <c r="L119" i="58"/>
  <c r="J89" i="53"/>
  <c r="AB79" i="53"/>
  <c r="K79" i="53" s="1"/>
  <c r="H119" i="55"/>
  <c r="Z109" i="55"/>
  <c r="I109" i="55" s="1"/>
  <c r="M37" i="55"/>
  <c r="F119" i="57"/>
  <c r="X109" i="57"/>
  <c r="AF16" i="52"/>
  <c r="O16" i="52" s="1"/>
  <c r="E16" i="52"/>
  <c r="E166" i="52"/>
  <c r="AF166" i="52"/>
  <c r="O166" i="52" s="1"/>
  <c r="G157" i="58"/>
  <c r="E127" i="52"/>
  <c r="AF127" i="52"/>
  <c r="X79" i="52"/>
  <c r="G79" i="52" s="1"/>
  <c r="F89" i="52"/>
  <c r="E130" i="57"/>
  <c r="AF130" i="57"/>
  <c r="O130" i="57" s="1"/>
  <c r="J179" i="52"/>
  <c r="AB169" i="52"/>
  <c r="G157" i="57"/>
  <c r="X170" i="52"/>
  <c r="G170" i="52" s="1"/>
  <c r="E67" i="53"/>
  <c r="AF67" i="53"/>
  <c r="O67" i="53" s="1"/>
  <c r="Z109" i="52"/>
  <c r="I109" i="52" s="1"/>
  <c r="H119" i="52"/>
  <c r="I7" i="55"/>
  <c r="E127" i="57"/>
  <c r="G127" i="52"/>
  <c r="K7" i="52"/>
  <c r="K97" i="57"/>
  <c r="I7" i="52"/>
  <c r="Z169" i="59"/>
  <c r="I169" i="59" s="1"/>
  <c r="H179" i="59"/>
  <c r="G40" i="59"/>
  <c r="AF40" i="59"/>
  <c r="O40" i="59" s="1"/>
  <c r="G37" i="58"/>
  <c r="E127" i="59"/>
  <c r="F59" i="55"/>
  <c r="X49" i="55"/>
  <c r="G49" i="55" s="1"/>
  <c r="E106" i="57"/>
  <c r="AF106" i="57"/>
  <c r="O106" i="57" s="1"/>
  <c r="V139" i="52"/>
  <c r="V140" i="52" s="1"/>
  <c r="E140" i="52" s="1"/>
  <c r="D149" i="52"/>
  <c r="F59" i="59"/>
  <c r="X49" i="59"/>
  <c r="G49" i="59" s="1"/>
  <c r="AB19" i="52"/>
  <c r="K19" i="52" s="1"/>
  <c r="J29" i="52"/>
  <c r="AB19" i="59"/>
  <c r="J29" i="59"/>
  <c r="Z79" i="53"/>
  <c r="I79" i="53" s="1"/>
  <c r="H89" i="53"/>
  <c r="AF70" i="53"/>
  <c r="O70" i="53" s="1"/>
  <c r="AB170" i="55"/>
  <c r="K170" i="55" s="1"/>
  <c r="AF70" i="58"/>
  <c r="O70" i="58" s="1"/>
  <c r="J59" i="59"/>
  <c r="AB49" i="59"/>
  <c r="K49" i="59" s="1"/>
  <c r="E7" i="55"/>
  <c r="AF7" i="55"/>
  <c r="O7" i="55" s="1"/>
  <c r="E100" i="52"/>
  <c r="AF100" i="52"/>
  <c r="O100" i="52" s="1"/>
  <c r="L59" i="57"/>
  <c r="AD49" i="57"/>
  <c r="M49" i="57" s="1"/>
  <c r="X79" i="59"/>
  <c r="G79" i="59" s="1"/>
  <c r="F89" i="59"/>
  <c r="E157" i="52"/>
  <c r="AF157" i="52"/>
  <c r="M157" i="55"/>
  <c r="AF160" i="52"/>
  <c r="O160" i="52" s="1"/>
  <c r="E160" i="52"/>
  <c r="G37" i="59"/>
  <c r="AF37" i="59"/>
  <c r="O37" i="59" s="1"/>
  <c r="M67" i="52"/>
  <c r="J59" i="55"/>
  <c r="AB49" i="55"/>
  <c r="I97" i="52"/>
  <c r="M37" i="52"/>
  <c r="E106" i="59"/>
  <c r="AF106" i="59"/>
  <c r="O106" i="59" s="1"/>
  <c r="AF46" i="52"/>
  <c r="O46" i="52" s="1"/>
  <c r="H29" i="52"/>
  <c r="Z19" i="52"/>
  <c r="I19" i="52" s="1"/>
  <c r="AF166" i="57"/>
  <c r="O166" i="57" s="1"/>
  <c r="I67" i="53"/>
  <c r="E160" i="55"/>
  <c r="AF160" i="55"/>
  <c r="O160" i="55" s="1"/>
  <c r="M97" i="58"/>
  <c r="AB79" i="59"/>
  <c r="K79" i="59" s="1"/>
  <c r="J89" i="59"/>
  <c r="X169" i="58"/>
  <c r="G169" i="58" s="1"/>
  <c r="F179" i="58"/>
  <c r="AF70" i="52"/>
  <c r="O70" i="52" s="1"/>
  <c r="E70" i="52"/>
  <c r="D29" i="59"/>
  <c r="V19" i="59"/>
  <c r="E19" i="59" s="1"/>
  <c r="F119" i="52"/>
  <c r="X109" i="52"/>
  <c r="G109" i="52" s="1"/>
  <c r="AF10" i="52"/>
  <c r="O10" i="52" s="1"/>
  <c r="X109" i="59"/>
  <c r="G109" i="59" s="1"/>
  <c r="AF13" i="55"/>
  <c r="O13" i="55" s="1"/>
  <c r="Z170" i="55"/>
  <c r="I170" i="55" s="1"/>
  <c r="AF163" i="58"/>
  <c r="O163" i="58" s="1"/>
  <c r="V169" i="58"/>
  <c r="V170" i="58" s="1"/>
  <c r="E170" i="58" s="1"/>
  <c r="I97" i="58"/>
  <c r="G67" i="59"/>
  <c r="V169" i="52"/>
  <c r="D179" i="52"/>
  <c r="D149" i="59"/>
  <c r="V139" i="59"/>
  <c r="E139" i="59" s="1"/>
  <c r="AD169" i="55"/>
  <c r="M169" i="55" s="1"/>
  <c r="L179" i="55"/>
  <c r="G7" i="53"/>
  <c r="AF130" i="52"/>
  <c r="O130" i="52" s="1"/>
  <c r="E130" i="52"/>
  <c r="L89" i="59"/>
  <c r="AD79" i="59"/>
  <c r="M79" i="59" s="1"/>
  <c r="Z139" i="53"/>
  <c r="H149" i="53"/>
  <c r="AB139" i="52"/>
  <c r="K139" i="52" s="1"/>
  <c r="J149" i="52"/>
  <c r="L89" i="52"/>
  <c r="AD79" i="52"/>
  <c r="M79" i="52" s="1"/>
  <c r="V110" i="57"/>
  <c r="E110" i="57" s="1"/>
  <c r="K67" i="57"/>
  <c r="E106" i="52"/>
  <c r="AF106" i="52"/>
  <c r="O106" i="52" s="1"/>
  <c r="M127" i="57"/>
  <c r="E16" i="55"/>
  <c r="AF16" i="55"/>
  <c r="O16" i="55" s="1"/>
  <c r="L59" i="52"/>
  <c r="AD49" i="52"/>
  <c r="M49" i="52" s="1"/>
  <c r="E76" i="52"/>
  <c r="AF76" i="52"/>
  <c r="O76" i="52" s="1"/>
  <c r="M100" i="52"/>
  <c r="G97" i="57"/>
  <c r="AF97" i="57"/>
  <c r="AF157" i="59"/>
  <c r="AF100" i="57"/>
  <c r="O100" i="57" s="1"/>
  <c r="X110" i="57"/>
  <c r="G110" i="57" s="1"/>
  <c r="AF73" i="58"/>
  <c r="O73" i="58" s="1"/>
  <c r="I7" i="57"/>
  <c r="H119" i="58"/>
  <c r="Z109" i="58"/>
  <c r="I109" i="58" s="1"/>
  <c r="D89" i="58"/>
  <c r="V79" i="58"/>
  <c r="E79" i="58" s="1"/>
  <c r="AB109" i="53"/>
  <c r="J119" i="53"/>
  <c r="F29" i="53"/>
  <c r="X19" i="53"/>
  <c r="G19" i="53" s="1"/>
  <c r="K139" i="53"/>
  <c r="AB140" i="53"/>
  <c r="K140" i="53" s="1"/>
  <c r="H29" i="58"/>
  <c r="Z19" i="58"/>
  <c r="I19" i="58" s="1"/>
  <c r="M7" i="52"/>
  <c r="F119" i="55"/>
  <c r="X109" i="55"/>
  <c r="G109" i="55" s="1"/>
  <c r="G37" i="52"/>
  <c r="AF37" i="52"/>
  <c r="AD19" i="59"/>
  <c r="M19" i="59" s="1"/>
  <c r="L29" i="59"/>
  <c r="X139" i="53"/>
  <c r="F149" i="53"/>
  <c r="J59" i="52"/>
  <c r="AB49" i="52"/>
  <c r="K49" i="52" s="1"/>
  <c r="E106" i="58"/>
  <c r="AF106" i="58"/>
  <c r="O106" i="58" s="1"/>
  <c r="K97" i="55"/>
  <c r="F29" i="52"/>
  <c r="X19" i="52"/>
  <c r="G19" i="52" s="1"/>
  <c r="D119" i="52"/>
  <c r="V109" i="52"/>
  <c r="M67" i="59"/>
  <c r="M97" i="53"/>
  <c r="K127" i="58"/>
  <c r="AD139" i="57"/>
  <c r="M139" i="57" s="1"/>
  <c r="L149" i="57"/>
  <c r="I37" i="52"/>
  <c r="X139" i="58"/>
  <c r="G139" i="58" s="1"/>
  <c r="F149" i="58"/>
  <c r="V169" i="59"/>
  <c r="D179" i="59"/>
  <c r="E136" i="53"/>
  <c r="AF136" i="53"/>
  <c r="O136" i="53" s="1"/>
  <c r="E13" i="59"/>
  <c r="AF13" i="59"/>
  <c r="O13" i="59" s="1"/>
  <c r="AF103" i="55"/>
  <c r="O103" i="55" s="1"/>
  <c r="L119" i="57"/>
  <c r="AD109" i="57"/>
  <c r="M109" i="57" s="1"/>
  <c r="E166" i="55"/>
  <c r="AF166" i="55"/>
  <c r="O166" i="55" s="1"/>
  <c r="AD19" i="53"/>
  <c r="L29" i="53"/>
  <c r="V139" i="55"/>
  <c r="E139" i="55" s="1"/>
  <c r="H29" i="57"/>
  <c r="Z19" i="57"/>
  <c r="I19" i="57" s="1"/>
  <c r="V19" i="52"/>
  <c r="V20" i="52" s="1"/>
  <c r="E20" i="52" s="1"/>
  <c r="D29" i="52"/>
  <c r="Z79" i="55"/>
  <c r="I79" i="55" s="1"/>
  <c r="H89" i="55"/>
  <c r="E13" i="52"/>
  <c r="AF13" i="52"/>
  <c r="O13" i="52" s="1"/>
  <c r="E73" i="52"/>
  <c r="AF73" i="52"/>
  <c r="O73" i="52" s="1"/>
  <c r="J89" i="52"/>
  <c r="AB79" i="52"/>
  <c r="K79" i="52" s="1"/>
  <c r="AD19" i="52"/>
  <c r="M19" i="52" s="1"/>
  <c r="L29" i="52"/>
  <c r="X49" i="52"/>
  <c r="F59" i="52"/>
  <c r="M7" i="59"/>
  <c r="AD79" i="57"/>
  <c r="M79" i="57" s="1"/>
  <c r="L89" i="57"/>
  <c r="H119" i="59"/>
  <c r="Z109" i="59"/>
  <c r="K37" i="52"/>
  <c r="I100" i="55"/>
  <c r="AB109" i="55"/>
  <c r="K109" i="55" s="1"/>
  <c r="J119" i="55"/>
  <c r="G7" i="52"/>
  <c r="AF7" i="52"/>
  <c r="AD109" i="53"/>
  <c r="M109" i="53" s="1"/>
  <c r="L119" i="53"/>
  <c r="K127" i="52"/>
  <c r="AB139" i="58"/>
  <c r="K139" i="58" s="1"/>
  <c r="J149" i="58"/>
  <c r="AF67" i="52"/>
  <c r="E67" i="52"/>
  <c r="G7" i="57"/>
  <c r="H149" i="52"/>
  <c r="Z139" i="52"/>
  <c r="I139" i="52" s="1"/>
  <c r="G100" i="55"/>
  <c r="AF100" i="55"/>
  <c r="O100" i="55" s="1"/>
  <c r="E103" i="52"/>
  <c r="AF103" i="52"/>
  <c r="O103" i="52" s="1"/>
  <c r="E157" i="57"/>
  <c r="AF157" i="57"/>
  <c r="O157" i="57" s="1"/>
  <c r="E46" i="55"/>
  <c r="AF46" i="55"/>
  <c r="O46" i="55" s="1"/>
  <c r="J89" i="57"/>
  <c r="AB79" i="57"/>
  <c r="K79" i="57" s="1"/>
  <c r="X80" i="58"/>
  <c r="G80" i="58" s="1"/>
  <c r="E49" i="52"/>
  <c r="V50" i="52"/>
  <c r="E50" i="52" s="1"/>
  <c r="E163" i="52"/>
  <c r="AF163" i="52"/>
  <c r="O163" i="52" s="1"/>
  <c r="V109" i="58"/>
  <c r="E109" i="58" s="1"/>
  <c r="D119" i="58"/>
  <c r="I67" i="55"/>
  <c r="H179" i="52"/>
  <c r="Z169" i="52"/>
  <c r="I7" i="58"/>
  <c r="K67" i="52"/>
  <c r="G97" i="55"/>
  <c r="X110" i="55"/>
  <c r="G110" i="55" s="1"/>
  <c r="L59" i="55"/>
  <c r="AD49" i="55"/>
  <c r="M49" i="55" s="1"/>
  <c r="E97" i="52"/>
  <c r="AF97" i="52"/>
  <c r="V110" i="52"/>
  <c r="E110" i="52" s="1"/>
  <c r="V49" i="53"/>
  <c r="D59" i="53"/>
  <c r="E100" i="58"/>
  <c r="AF100" i="58"/>
  <c r="O100" i="58" s="1"/>
  <c r="D89" i="52"/>
  <c r="V79" i="52"/>
  <c r="G100" i="53"/>
  <c r="H59" i="52"/>
  <c r="Z49" i="52"/>
  <c r="I49" i="52" s="1"/>
  <c r="G127" i="58"/>
  <c r="X19" i="57"/>
  <c r="G19" i="57" s="1"/>
  <c r="F29" i="57"/>
  <c r="AB109" i="57"/>
  <c r="K109" i="57" s="1"/>
  <c r="J119" i="57"/>
  <c r="I127" i="52"/>
  <c r="E136" i="52"/>
  <c r="AF136" i="52"/>
  <c r="O136" i="52" s="1"/>
  <c r="D179" i="57"/>
  <c r="V169" i="57"/>
  <c r="E169" i="57" s="1"/>
  <c r="X49" i="58"/>
  <c r="G49" i="58" s="1"/>
  <c r="F59" i="58"/>
  <c r="P74" i="95"/>
  <c r="P91" i="95"/>
  <c r="P8" i="95"/>
  <c r="P88" i="95"/>
  <c r="P48" i="95"/>
  <c r="P4" i="95"/>
  <c r="P45" i="95"/>
  <c r="P52" i="95"/>
  <c r="P63" i="95"/>
  <c r="P73" i="95"/>
  <c r="P11" i="95"/>
  <c r="P96" i="95"/>
  <c r="P21" i="95"/>
  <c r="P31" i="99"/>
  <c r="AF37" i="58"/>
  <c r="O37" i="58" s="1"/>
  <c r="M2" i="103"/>
  <c r="M26" i="103"/>
  <c r="O26" i="102"/>
  <c r="O27" i="103"/>
  <c r="N27" i="104"/>
  <c r="O27" i="104" s="1"/>
  <c r="P92" i="95"/>
  <c r="P54" i="95"/>
  <c r="P27" i="95"/>
  <c r="P72" i="95"/>
  <c r="P68" i="95"/>
  <c r="P87" i="95"/>
  <c r="P50" i="95"/>
  <c r="P101" i="95"/>
  <c r="P18" i="95"/>
  <c r="P32" i="95"/>
  <c r="P44" i="95"/>
  <c r="P37" i="95"/>
  <c r="P6" i="95"/>
  <c r="P82" i="95"/>
  <c r="P85" i="95"/>
  <c r="P78" i="95"/>
  <c r="P28" i="95"/>
  <c r="P26" i="95"/>
  <c r="P104" i="95"/>
  <c r="P94" i="95"/>
  <c r="P47" i="95"/>
  <c r="P29" i="95"/>
  <c r="P102" i="95"/>
  <c r="P31" i="95"/>
  <c r="AD110" i="59"/>
  <c r="M110" i="59" s="1"/>
  <c r="Z20" i="59"/>
  <c r="I20" i="59" s="1"/>
  <c r="I19" i="59"/>
  <c r="P38" i="95"/>
  <c r="P35" i="95"/>
  <c r="P14" i="95"/>
  <c r="P89" i="95"/>
  <c r="P56" i="95"/>
  <c r="P39" i="95"/>
  <c r="P7" i="95"/>
  <c r="P13" i="95"/>
  <c r="P84" i="95"/>
  <c r="P81" i="95"/>
  <c r="P51" i="95"/>
  <c r="P67" i="95"/>
  <c r="AB50" i="53"/>
  <c r="K50" i="53" s="1"/>
  <c r="N9" i="103"/>
  <c r="O9" i="102"/>
  <c r="P64" i="95"/>
  <c r="P5" i="95"/>
  <c r="P40" i="95"/>
  <c r="P43" i="95"/>
  <c r="P80" i="95"/>
  <c r="P86" i="95"/>
  <c r="P22" i="95"/>
  <c r="P77" i="95"/>
  <c r="P103" i="95"/>
  <c r="P49" i="95"/>
  <c r="P46" i="95"/>
  <c r="AF76" i="57"/>
  <c r="O76" i="57" s="1"/>
  <c r="N22" i="103"/>
  <c r="O22" i="102"/>
  <c r="P100" i="95"/>
  <c r="P61" i="95"/>
  <c r="P95" i="95"/>
  <c r="P16" i="95"/>
  <c r="P55" i="95"/>
  <c r="P34" i="95"/>
  <c r="P99" i="95"/>
  <c r="P98" i="95"/>
  <c r="P10" i="95"/>
  <c r="P9" i="95"/>
  <c r="P33" i="88"/>
  <c r="Z80" i="59"/>
  <c r="I80" i="59" s="1"/>
  <c r="N6" i="104"/>
  <c r="O6" i="104" s="1"/>
  <c r="O6" i="103"/>
  <c r="K169" i="59"/>
  <c r="E73" i="53"/>
  <c r="AF73" i="53"/>
  <c r="O73" i="53" s="1"/>
  <c r="E37" i="57"/>
  <c r="AF37" i="57"/>
  <c r="I46" i="58"/>
  <c r="AF46" i="58"/>
  <c r="O46" i="58" s="1"/>
  <c r="X139" i="59"/>
  <c r="X140" i="59" s="1"/>
  <c r="G140" i="59" s="1"/>
  <c r="F149" i="59"/>
  <c r="G139" i="55"/>
  <c r="X140" i="55"/>
  <c r="G140" i="55" s="1"/>
  <c r="E103" i="59"/>
  <c r="AF103" i="59"/>
  <c r="O103" i="59" s="1"/>
  <c r="M19" i="57"/>
  <c r="AD20" i="57"/>
  <c r="M20" i="57" s="1"/>
  <c r="E49" i="58"/>
  <c r="AF70" i="59"/>
  <c r="O70" i="59" s="1"/>
  <c r="E70" i="59"/>
  <c r="H149" i="58"/>
  <c r="Z139" i="58"/>
  <c r="I139" i="58" s="1"/>
  <c r="I40" i="58"/>
  <c r="AF40" i="58"/>
  <c r="I133" i="58"/>
  <c r="AF133" i="58"/>
  <c r="O133" i="58" s="1"/>
  <c r="M19" i="55"/>
  <c r="AD20" i="55"/>
  <c r="M20" i="55" s="1"/>
  <c r="AD140" i="53"/>
  <c r="M140" i="53" s="1"/>
  <c r="E73" i="59"/>
  <c r="AF73" i="59"/>
  <c r="O73" i="59" s="1"/>
  <c r="AB170" i="57"/>
  <c r="K170" i="57" s="1"/>
  <c r="L29" i="58"/>
  <c r="AD19" i="58"/>
  <c r="M19" i="58" s="1"/>
  <c r="I130" i="58"/>
  <c r="AF130" i="58"/>
  <c r="O130" i="58" s="1"/>
  <c r="L89" i="55"/>
  <c r="AD79" i="55"/>
  <c r="M79" i="55" s="1"/>
  <c r="I127" i="58"/>
  <c r="E10" i="57"/>
  <c r="AF10" i="57"/>
  <c r="O10" i="57" s="1"/>
  <c r="I67" i="57"/>
  <c r="G136" i="57"/>
  <c r="AF136" i="57"/>
  <c r="O136" i="57" s="1"/>
  <c r="G127" i="59"/>
  <c r="AF127" i="59"/>
  <c r="M166" i="59"/>
  <c r="AF166" i="59"/>
  <c r="O166" i="59" s="1"/>
  <c r="I160" i="57"/>
  <c r="AF160" i="57"/>
  <c r="AF133" i="59"/>
  <c r="O133" i="59" s="1"/>
  <c r="G133" i="59"/>
  <c r="X80" i="53"/>
  <c r="G80" i="53" s="1"/>
  <c r="M169" i="53"/>
  <c r="AD170" i="53"/>
  <c r="M170" i="53" s="1"/>
  <c r="M46" i="59"/>
  <c r="AF46" i="59"/>
  <c r="O46" i="59" s="1"/>
  <c r="E7" i="58"/>
  <c r="AF7" i="58"/>
  <c r="I127" i="57"/>
  <c r="E7" i="57"/>
  <c r="AF7" i="57"/>
  <c r="K139" i="57"/>
  <c r="AB140" i="57"/>
  <c r="K140" i="57" s="1"/>
  <c r="X139" i="57"/>
  <c r="X140" i="57" s="1"/>
  <c r="G140" i="57" s="1"/>
  <c r="F149" i="57"/>
  <c r="E106" i="53"/>
  <c r="AF106" i="53"/>
  <c r="O106" i="53" s="1"/>
  <c r="L59" i="58"/>
  <c r="AD49" i="58"/>
  <c r="M49" i="58" s="1"/>
  <c r="I40" i="55"/>
  <c r="AF40" i="55"/>
  <c r="O40" i="55" s="1"/>
  <c r="G79" i="55"/>
  <c r="X80" i="55"/>
  <c r="G80" i="55" s="1"/>
  <c r="AF43" i="58"/>
  <c r="O43" i="58" s="1"/>
  <c r="I43" i="58"/>
  <c r="E13" i="53"/>
  <c r="AF13" i="53"/>
  <c r="O13" i="53" s="1"/>
  <c r="Z79" i="57"/>
  <c r="H89" i="57"/>
  <c r="AF100" i="59"/>
  <c r="O100" i="59" s="1"/>
  <c r="E100" i="59"/>
  <c r="I157" i="58"/>
  <c r="AF157" i="58"/>
  <c r="O157" i="58" s="1"/>
  <c r="E16" i="53"/>
  <c r="AF16" i="53"/>
  <c r="AF13" i="58"/>
  <c r="O13" i="58" s="1"/>
  <c r="E13" i="58"/>
  <c r="E76" i="53"/>
  <c r="AF76" i="53"/>
  <c r="O76" i="53" s="1"/>
  <c r="E169" i="55"/>
  <c r="V170" i="55"/>
  <c r="E170" i="55" s="1"/>
  <c r="AF169" i="55"/>
  <c r="AF100" i="53"/>
  <c r="O100" i="53" s="1"/>
  <c r="E100" i="53"/>
  <c r="E43" i="57"/>
  <c r="AF43" i="57"/>
  <c r="O43" i="57" s="1"/>
  <c r="V20" i="55"/>
  <c r="E20" i="55" s="1"/>
  <c r="E19" i="55"/>
  <c r="AF19" i="55"/>
  <c r="D29" i="58"/>
  <c r="V19" i="58"/>
  <c r="M139" i="59"/>
  <c r="AD140" i="59"/>
  <c r="M140" i="59" s="1"/>
  <c r="G16" i="59"/>
  <c r="AF16" i="59"/>
  <c r="O16" i="59" s="1"/>
  <c r="AF10" i="53"/>
  <c r="O10" i="53" s="1"/>
  <c r="E10" i="53"/>
  <c r="V109" i="59"/>
  <c r="V110" i="59" s="1"/>
  <c r="E110" i="59" s="1"/>
  <c r="D119" i="59"/>
  <c r="E97" i="53"/>
  <c r="AF97" i="53"/>
  <c r="E49" i="55"/>
  <c r="V50" i="55"/>
  <c r="E50" i="55" s="1"/>
  <c r="G127" i="57"/>
  <c r="AF127" i="57"/>
  <c r="D179" i="53"/>
  <c r="V169" i="53"/>
  <c r="M73" i="55"/>
  <c r="AF73" i="55"/>
  <c r="O73" i="55" s="1"/>
  <c r="E7" i="53"/>
  <c r="AF7" i="53"/>
  <c r="O7" i="53" s="1"/>
  <c r="AB170" i="53"/>
  <c r="K170" i="53" s="1"/>
  <c r="K169" i="53"/>
  <c r="M40" i="58"/>
  <c r="L59" i="53"/>
  <c r="AD49" i="53"/>
  <c r="M49" i="53" s="1"/>
  <c r="X20" i="58"/>
  <c r="G20" i="58" s="1"/>
  <c r="G19" i="58"/>
  <c r="V49" i="57"/>
  <c r="V50" i="57" s="1"/>
  <c r="E50" i="57" s="1"/>
  <c r="D59" i="57"/>
  <c r="M43" i="59"/>
  <c r="AF43" i="59"/>
  <c r="X19" i="59"/>
  <c r="X20" i="59" s="1"/>
  <c r="G20" i="59" s="1"/>
  <c r="F29" i="59"/>
  <c r="E46" i="57"/>
  <c r="AF46" i="57"/>
  <c r="O46" i="57" s="1"/>
  <c r="AF46" i="53"/>
  <c r="O46" i="53" s="1"/>
  <c r="I70" i="57"/>
  <c r="AF70" i="57"/>
  <c r="O70" i="57" s="1"/>
  <c r="Z139" i="57"/>
  <c r="I139" i="57" s="1"/>
  <c r="H149" i="57"/>
  <c r="AF130" i="55"/>
  <c r="O130" i="55" s="1"/>
  <c r="E130" i="55"/>
  <c r="G130" i="59"/>
  <c r="AF130" i="59"/>
  <c r="O130" i="59" s="1"/>
  <c r="O157" i="53"/>
  <c r="I37" i="55"/>
  <c r="AF37" i="55"/>
  <c r="E133" i="53"/>
  <c r="AF133" i="53"/>
  <c r="O133" i="53" s="1"/>
  <c r="Z110" i="53"/>
  <c r="I110" i="53" s="1"/>
  <c r="AF130" i="53"/>
  <c r="O130" i="53" s="1"/>
  <c r="E130" i="53"/>
  <c r="K19" i="55"/>
  <c r="AB20" i="55"/>
  <c r="K20" i="55" s="1"/>
  <c r="I163" i="57"/>
  <c r="AF163" i="57"/>
  <c r="O163" i="57" s="1"/>
  <c r="E97" i="59"/>
  <c r="AF97" i="59"/>
  <c r="O97" i="59" s="1"/>
  <c r="D119" i="53"/>
  <c r="V109" i="53"/>
  <c r="AF166" i="58"/>
  <c r="O166" i="58" s="1"/>
  <c r="Z140" i="59"/>
  <c r="I140" i="59" s="1"/>
  <c r="AF67" i="57"/>
  <c r="AB170" i="59"/>
  <c r="K170" i="59" s="1"/>
  <c r="Z49" i="58"/>
  <c r="H59" i="58"/>
  <c r="E10" i="58"/>
  <c r="AF10" i="58"/>
  <c r="O10" i="58" s="1"/>
  <c r="L179" i="59"/>
  <c r="AD169" i="59"/>
  <c r="K13" i="57"/>
  <c r="D89" i="59"/>
  <c r="V79" i="59"/>
  <c r="V80" i="59" s="1"/>
  <c r="E80" i="59" s="1"/>
  <c r="G40" i="57"/>
  <c r="AF40" i="57"/>
  <c r="O40" i="57" s="1"/>
  <c r="Z169" i="57"/>
  <c r="H179" i="57"/>
  <c r="M160" i="59"/>
  <c r="AF160" i="59"/>
  <c r="O160" i="59" s="1"/>
  <c r="E13" i="57"/>
  <c r="AF13" i="57"/>
  <c r="O13" i="57" s="1"/>
  <c r="H179" i="53"/>
  <c r="Z169" i="53"/>
  <c r="I169" i="53" s="1"/>
  <c r="O157" i="59"/>
  <c r="Z169" i="58"/>
  <c r="I169" i="58" s="1"/>
  <c r="H179" i="58"/>
  <c r="Z50" i="53"/>
  <c r="I50" i="53" s="1"/>
  <c r="I49" i="53"/>
  <c r="G133" i="57"/>
  <c r="AF133" i="57"/>
  <c r="O133" i="57" s="1"/>
  <c r="I43" i="55"/>
  <c r="AF43" i="55"/>
  <c r="O43" i="55" s="1"/>
  <c r="J149" i="59"/>
  <c r="AB139" i="59"/>
  <c r="AD170" i="58"/>
  <c r="M170" i="58" s="1"/>
  <c r="M169" i="58"/>
  <c r="M7" i="58"/>
  <c r="E67" i="59"/>
  <c r="AF67" i="59"/>
  <c r="V139" i="53"/>
  <c r="V140" i="53" s="1"/>
  <c r="E140" i="53" s="1"/>
  <c r="D149" i="53"/>
  <c r="AF73" i="57"/>
  <c r="O73" i="57" s="1"/>
  <c r="E76" i="59"/>
  <c r="AF76" i="59"/>
  <c r="O76" i="59" s="1"/>
  <c r="E160" i="53"/>
  <c r="AF160" i="53"/>
  <c r="O160" i="53" s="1"/>
  <c r="X80" i="57"/>
  <c r="G80" i="57" s="1"/>
  <c r="D29" i="53"/>
  <c r="V19" i="53"/>
  <c r="E163" i="53"/>
  <c r="AF163" i="53"/>
  <c r="O163" i="53" s="1"/>
  <c r="M43" i="53"/>
  <c r="AF43" i="53"/>
  <c r="AD110" i="55"/>
  <c r="M110" i="55" s="1"/>
  <c r="M109" i="55"/>
  <c r="V80" i="55"/>
  <c r="E80" i="55" s="1"/>
  <c r="E79" i="55"/>
  <c r="AF16" i="58"/>
  <c r="O16" i="58" s="1"/>
  <c r="E16" i="58"/>
  <c r="G10" i="59"/>
  <c r="AF10" i="59"/>
  <c r="O10" i="59" s="1"/>
  <c r="E103" i="53"/>
  <c r="AF103" i="53"/>
  <c r="O103" i="53" s="1"/>
  <c r="H29" i="53"/>
  <c r="Z19" i="53"/>
  <c r="D29" i="57"/>
  <c r="V19" i="57"/>
  <c r="V20" i="57" s="1"/>
  <c r="E20" i="57" s="1"/>
  <c r="G37" i="57"/>
  <c r="E16" i="57"/>
  <c r="AF16" i="57"/>
  <c r="O16" i="57" s="1"/>
  <c r="H59" i="55"/>
  <c r="Z49" i="55"/>
  <c r="I49" i="55" s="1"/>
  <c r="AF76" i="55"/>
  <c r="O76" i="55" s="1"/>
  <c r="E49" i="59"/>
  <c r="V50" i="59"/>
  <c r="E50" i="59" s="1"/>
  <c r="M67" i="55"/>
  <c r="AF67" i="55"/>
  <c r="J29" i="57"/>
  <c r="AB19" i="57"/>
  <c r="K19" i="57" s="1"/>
  <c r="AF127" i="58"/>
  <c r="O127" i="58" s="1"/>
  <c r="G136" i="59"/>
  <c r="AF136" i="59"/>
  <c r="O136" i="59" s="1"/>
  <c r="L59" i="59"/>
  <c r="AD49" i="59"/>
  <c r="M49" i="59" s="1"/>
  <c r="E127" i="53"/>
  <c r="AF127" i="53"/>
  <c r="E139" i="58"/>
  <c r="X49" i="57"/>
  <c r="G49" i="57" s="1"/>
  <c r="F59" i="57"/>
  <c r="G7" i="59"/>
  <c r="AF7" i="59"/>
  <c r="G169" i="53"/>
  <c r="X170" i="53"/>
  <c r="G170" i="53" s="1"/>
  <c r="I160" i="53"/>
  <c r="D89" i="53"/>
  <c r="V79" i="53"/>
  <c r="V80" i="53" s="1"/>
  <c r="E80" i="53" s="1"/>
  <c r="M16" i="104"/>
  <c r="O16" i="104" s="1"/>
  <c r="O16" i="103"/>
  <c r="BV10" i="59"/>
  <c r="BV76" i="59"/>
  <c r="BV165" i="59"/>
  <c r="BV164" i="59"/>
  <c r="BV106" i="59"/>
  <c r="BV45" i="59"/>
  <c r="P57" i="98"/>
  <c r="P100" i="98"/>
  <c r="BV137" i="59"/>
  <c r="P24" i="99"/>
  <c r="P95" i="99"/>
  <c r="P44" i="99"/>
  <c r="P86" i="99"/>
  <c r="P71" i="99"/>
  <c r="P5" i="99"/>
  <c r="P6" i="99"/>
  <c r="P66" i="99"/>
  <c r="P65" i="99"/>
  <c r="P93" i="99"/>
  <c r="P97" i="99"/>
  <c r="P36" i="99"/>
  <c r="P23" i="88"/>
  <c r="BV40" i="57"/>
  <c r="BV105" i="59"/>
  <c r="P60" i="95"/>
  <c r="P76" i="95"/>
  <c r="P24" i="95"/>
  <c r="P75" i="95"/>
  <c r="P79" i="95"/>
  <c r="P83" i="95"/>
  <c r="P12" i="95"/>
  <c r="P20" i="95"/>
  <c r="BV102" i="59"/>
  <c r="BV136" i="59"/>
  <c r="BV74" i="59"/>
  <c r="BV97" i="59"/>
  <c r="BV168" i="59"/>
  <c r="BV108" i="59"/>
  <c r="BV130" i="59"/>
  <c r="O33" i="100"/>
  <c r="M33" i="101"/>
  <c r="BV101" i="59"/>
  <c r="P68" i="98"/>
  <c r="P69" i="99"/>
  <c r="P28" i="99"/>
  <c r="P11" i="99"/>
  <c r="P38" i="99"/>
  <c r="P63" i="99"/>
  <c r="P34" i="99"/>
  <c r="P73" i="99"/>
  <c r="P77" i="99"/>
  <c r="P102" i="99"/>
  <c r="P91" i="99"/>
  <c r="P59" i="99"/>
  <c r="BV161" i="59"/>
  <c r="F5" i="97"/>
  <c r="A6" i="97"/>
  <c r="G5" i="97"/>
  <c r="B5" i="97"/>
  <c r="E5" i="97"/>
  <c r="BV159" i="59"/>
  <c r="BV37" i="59"/>
  <c r="O20" i="100"/>
  <c r="M20" i="101"/>
  <c r="BV18" i="59"/>
  <c r="BV132" i="59"/>
  <c r="BV72" i="59"/>
  <c r="BV163" i="59"/>
  <c r="BV158" i="59"/>
  <c r="BV16" i="59"/>
  <c r="BV77" i="59"/>
  <c r="P54" i="99"/>
  <c r="P39" i="99"/>
  <c r="P27" i="99"/>
  <c r="P12" i="99"/>
  <c r="P56" i="99"/>
  <c r="P58" i="99"/>
  <c r="P96" i="99"/>
  <c r="P103" i="99"/>
  <c r="P89" i="99"/>
  <c r="P33" i="99"/>
  <c r="P21" i="99"/>
  <c r="P47" i="99"/>
  <c r="BV160" i="59"/>
  <c r="BV107" i="59"/>
  <c r="N19" i="69"/>
  <c r="C19" i="69" s="1"/>
  <c r="H19" i="69" s="1"/>
  <c r="N17" i="69"/>
  <c r="N18" i="69"/>
  <c r="C18" i="69" s="1"/>
  <c r="H18" i="69" s="1"/>
  <c r="C17" i="69"/>
  <c r="H17" i="69" s="1"/>
  <c r="BV39" i="59"/>
  <c r="BV15" i="59"/>
  <c r="BV13" i="59"/>
  <c r="O23" i="100"/>
  <c r="N23" i="101"/>
  <c r="BV136" i="52"/>
  <c r="BV70" i="59"/>
  <c r="P104" i="99"/>
  <c r="BV157" i="59"/>
  <c r="BV138" i="59"/>
  <c r="BV134" i="59"/>
  <c r="BV78" i="59"/>
  <c r="BV48" i="59"/>
  <c r="BV46" i="59"/>
  <c r="BV43" i="59"/>
  <c r="BV69" i="59"/>
  <c r="O21" i="100"/>
  <c r="N21" i="101"/>
  <c r="BV68" i="59"/>
  <c r="P70" i="99"/>
  <c r="P17" i="99"/>
  <c r="P2" i="99"/>
  <c r="P60" i="99"/>
  <c r="P3" i="99"/>
  <c r="P23" i="99"/>
  <c r="P32" i="99"/>
  <c r="P4" i="99"/>
  <c r="P76" i="99"/>
  <c r="P84" i="99"/>
  <c r="P92" i="99"/>
  <c r="P50" i="99"/>
  <c r="O136" i="55"/>
  <c r="BV17" i="59"/>
  <c r="BV104" i="59"/>
  <c r="O8" i="100"/>
  <c r="N8" i="101"/>
  <c r="BV40" i="59"/>
  <c r="BV129" i="59"/>
  <c r="O17" i="100"/>
  <c r="N17" i="101"/>
  <c r="BV100" i="59"/>
  <c r="BV127" i="55"/>
  <c r="BV135" i="59"/>
  <c r="BV14" i="59"/>
  <c r="BV162" i="59"/>
  <c r="BV9" i="59"/>
  <c r="BV128" i="59"/>
  <c r="BV41" i="59"/>
  <c r="BV103" i="59"/>
  <c r="BV12" i="59"/>
  <c r="P94" i="99"/>
  <c r="P41" i="99"/>
  <c r="P35" i="99"/>
  <c r="P15" i="99"/>
  <c r="P48" i="99"/>
  <c r="P7" i="99"/>
  <c r="P13" i="99"/>
  <c r="P51" i="99"/>
  <c r="P25" i="99"/>
  <c r="P61" i="99"/>
  <c r="P19" i="99"/>
  <c r="P10" i="99"/>
  <c r="P33" i="95"/>
  <c r="BV75" i="59"/>
  <c r="P8" i="88"/>
  <c r="P25" i="88"/>
  <c r="P62" i="88"/>
  <c r="P65" i="88"/>
  <c r="P37" i="88"/>
  <c r="P15" i="88"/>
  <c r="P59" i="88"/>
  <c r="P24" i="88"/>
  <c r="P88" i="88"/>
  <c r="P47" i="88"/>
  <c r="P103" i="88"/>
  <c r="P3" i="88"/>
  <c r="P76" i="88"/>
  <c r="P93" i="88"/>
  <c r="P46" i="88"/>
  <c r="P97" i="88"/>
  <c r="P79" i="88"/>
  <c r="P83" i="88"/>
  <c r="P36" i="88"/>
  <c r="P13" i="88"/>
  <c r="P78" i="88"/>
  <c r="P10" i="88"/>
  <c r="P39" i="88"/>
  <c r="P55" i="88"/>
  <c r="P56" i="88"/>
  <c r="P50" i="88"/>
  <c r="P67" i="88"/>
  <c r="P96" i="88"/>
  <c r="P80" i="88"/>
  <c r="P85" i="88"/>
  <c r="P41" i="88"/>
  <c r="P31" i="88"/>
  <c r="P30" i="88"/>
  <c r="P27" i="88"/>
  <c r="P26" i="88"/>
  <c r="P58" i="88"/>
  <c r="P48" i="88"/>
  <c r="P11" i="88"/>
  <c r="P99" i="88"/>
  <c r="P45" i="88"/>
  <c r="P72" i="88"/>
  <c r="P68" i="88"/>
  <c r="P32" i="88"/>
  <c r="P92" i="88"/>
  <c r="P69" i="88"/>
  <c r="P18" i="88"/>
  <c r="P42" i="88"/>
  <c r="P7" i="88"/>
  <c r="P38" i="88"/>
  <c r="P34" i="88"/>
  <c r="P74" i="88"/>
  <c r="P87" i="88"/>
  <c r="P86" i="88"/>
  <c r="P57" i="88"/>
  <c r="P9" i="88"/>
  <c r="P60" i="88"/>
  <c r="P91" i="88"/>
  <c r="P100" i="88"/>
  <c r="P12" i="88"/>
  <c r="P2" i="88"/>
  <c r="P40" i="88"/>
  <c r="P64" i="88"/>
  <c r="P82" i="88"/>
  <c r="P51" i="88"/>
  <c r="P70" i="88"/>
  <c r="P49" i="88"/>
  <c r="P53" i="88"/>
  <c r="P71" i="88"/>
  <c r="P22" i="88"/>
  <c r="P104" i="88"/>
  <c r="P21" i="88"/>
  <c r="P81" i="88"/>
  <c r="P5" i="88"/>
  <c r="P43" i="88"/>
  <c r="P6" i="88"/>
  <c r="P73" i="88"/>
  <c r="P19" i="88"/>
  <c r="P61" i="88"/>
  <c r="P16" i="88"/>
  <c r="P77" i="88"/>
  <c r="P98" i="88"/>
  <c r="P101" i="88"/>
  <c r="P14" i="88"/>
  <c r="P94" i="88"/>
  <c r="P4" i="88"/>
  <c r="P84" i="88"/>
  <c r="P35" i="88"/>
  <c r="P90" i="88"/>
  <c r="P95" i="88"/>
  <c r="P44" i="88"/>
  <c r="P75" i="88"/>
  <c r="P102" i="88"/>
  <c r="P52" i="88"/>
  <c r="P28" i="88"/>
  <c r="P66" i="88"/>
  <c r="P63" i="88"/>
  <c r="P20" i="88"/>
  <c r="P89" i="88"/>
  <c r="P54" i="88"/>
  <c r="P29" i="88"/>
  <c r="BV13" i="53"/>
  <c r="N22" i="66" s="1"/>
  <c r="C22" i="66" s="1"/>
  <c r="H22" i="66" s="1"/>
  <c r="C20" i="66"/>
  <c r="H20" i="66" s="1"/>
  <c r="BV13" i="55"/>
  <c r="N20" i="63" s="1"/>
  <c r="E5" i="95"/>
  <c r="O24" i="103"/>
  <c r="N24" i="104"/>
  <c r="O24" i="104" s="1"/>
  <c r="P52" i="99"/>
  <c r="O29" i="101"/>
  <c r="N29" i="102"/>
  <c r="BV67" i="59"/>
  <c r="BV166" i="59"/>
  <c r="BV98" i="59"/>
  <c r="BV73" i="59"/>
  <c r="BV133" i="59"/>
  <c r="BV71" i="59"/>
  <c r="BV7" i="59"/>
  <c r="M45" i="103"/>
  <c r="O45" i="103" s="1"/>
  <c r="P74" i="99"/>
  <c r="P90" i="99"/>
  <c r="P43" i="99"/>
  <c r="P81" i="99"/>
  <c r="P68" i="99"/>
  <c r="P100" i="99"/>
  <c r="P30" i="99"/>
  <c r="P37" i="99"/>
  <c r="P85" i="99"/>
  <c r="P67" i="99"/>
  <c r="P9" i="99"/>
  <c r="P82" i="99"/>
  <c r="N20" i="70"/>
  <c r="C20" i="70"/>
  <c r="H20" i="70" s="1"/>
  <c r="N22" i="70"/>
  <c r="C22" i="70" s="1"/>
  <c r="H22" i="70" s="1"/>
  <c r="N21" i="70"/>
  <c r="C21" i="70" s="1"/>
  <c r="H21" i="70" s="1"/>
  <c r="P99" i="99"/>
  <c r="P80" i="99"/>
  <c r="A6" i="96"/>
  <c r="B5" i="96"/>
  <c r="E5" i="96"/>
  <c r="F5" i="96"/>
  <c r="G5" i="96"/>
  <c r="P40" i="99"/>
  <c r="P90" i="98"/>
  <c r="P33" i="98"/>
  <c r="P17" i="98"/>
  <c r="P4" i="98"/>
  <c r="P99" i="98"/>
  <c r="P34" i="98"/>
  <c r="P87" i="98"/>
  <c r="P76" i="98"/>
  <c r="P62" i="98"/>
  <c r="P58" i="98"/>
  <c r="P40" i="98"/>
  <c r="P74" i="98"/>
  <c r="P98" i="98"/>
  <c r="P53" i="98"/>
  <c r="P104" i="98"/>
  <c r="P80" i="98"/>
  <c r="P38" i="98"/>
  <c r="P6" i="98"/>
  <c r="P48" i="98"/>
  <c r="P71" i="98"/>
  <c r="P95" i="98"/>
  <c r="P26" i="98"/>
  <c r="P11" i="98"/>
  <c r="P92" i="98"/>
  <c r="P31" i="98"/>
  <c r="P59" i="98"/>
  <c r="P35" i="98"/>
  <c r="P55" i="98"/>
  <c r="P19" i="98"/>
  <c r="P81" i="98"/>
  <c r="P56" i="98"/>
  <c r="P29" i="98"/>
  <c r="P7" i="98"/>
  <c r="P103" i="98"/>
  <c r="P14" i="98"/>
  <c r="P61" i="98"/>
  <c r="P97" i="98"/>
  <c r="P9" i="98"/>
  <c r="P49" i="98"/>
  <c r="P67" i="98"/>
  <c r="P24" i="98"/>
  <c r="P47" i="98"/>
  <c r="P42" i="98"/>
  <c r="P52" i="98"/>
  <c r="P41" i="98"/>
  <c r="P10" i="98"/>
  <c r="P70" i="98"/>
  <c r="P16" i="98"/>
  <c r="P79" i="98"/>
  <c r="P44" i="98"/>
  <c r="P82" i="98"/>
  <c r="P3" i="98"/>
  <c r="P85" i="98"/>
  <c r="P64" i="98"/>
  <c r="P66" i="98"/>
  <c r="P86" i="98"/>
  <c r="P84" i="98"/>
  <c r="P20" i="98"/>
  <c r="P27" i="98"/>
  <c r="P96" i="98"/>
  <c r="P36" i="98"/>
  <c r="P28" i="98"/>
  <c r="P77" i="98"/>
  <c r="P101" i="98"/>
  <c r="P54" i="98"/>
  <c r="P60" i="98"/>
  <c r="P51" i="98"/>
  <c r="P15" i="98"/>
  <c r="P13" i="98"/>
  <c r="P2" i="98"/>
  <c r="P63" i="98"/>
  <c r="P45" i="98"/>
  <c r="P22" i="98"/>
  <c r="P8" i="98"/>
  <c r="P65" i="98"/>
  <c r="P46" i="98"/>
  <c r="P75" i="98"/>
  <c r="P39" i="98"/>
  <c r="P50" i="98"/>
  <c r="P73" i="98"/>
  <c r="P43" i="98"/>
  <c r="P23" i="98"/>
  <c r="P102" i="98"/>
  <c r="P25" i="98"/>
  <c r="P94" i="98"/>
  <c r="P12" i="98"/>
  <c r="P5" i="98"/>
  <c r="P37" i="98"/>
  <c r="P88" i="98"/>
  <c r="P78" i="98"/>
  <c r="P83" i="98"/>
  <c r="P32" i="98"/>
  <c r="P21" i="98"/>
  <c r="P18" i="98"/>
  <c r="P69" i="98"/>
  <c r="P93" i="98"/>
  <c r="P30" i="98"/>
  <c r="P72" i="98"/>
  <c r="BV44" i="59"/>
  <c r="BV127" i="59"/>
  <c r="BV42" i="59"/>
  <c r="BV131" i="59"/>
  <c r="BV99" i="59"/>
  <c r="BV38" i="59"/>
  <c r="BV47" i="59"/>
  <c r="P79" i="99"/>
  <c r="P55" i="99"/>
  <c r="P46" i="99"/>
  <c r="P98" i="99"/>
  <c r="P53" i="99"/>
  <c r="P16" i="99"/>
  <c r="P42" i="99"/>
  <c r="P57" i="99"/>
  <c r="P49" i="99"/>
  <c r="P101" i="99"/>
  <c r="P87" i="99"/>
  <c r="P78" i="99"/>
  <c r="P91" i="98"/>
  <c r="C20" i="60"/>
  <c r="H20" i="60" s="1"/>
  <c r="N21" i="60"/>
  <c r="C21" i="60" s="1"/>
  <c r="H21" i="60" s="1"/>
  <c r="N20" i="60"/>
  <c r="N22" i="60"/>
  <c r="C22" i="60" s="1"/>
  <c r="H22" i="60" s="1"/>
  <c r="N18" i="103"/>
  <c r="O18" i="102"/>
  <c r="M139" i="55"/>
  <c r="AB80" i="58" l="1"/>
  <c r="K80" i="58" s="1"/>
  <c r="AB20" i="58"/>
  <c r="K20" i="58" s="1"/>
  <c r="AB50" i="58"/>
  <c r="K50" i="58" s="1"/>
  <c r="M79" i="58"/>
  <c r="Z80" i="58"/>
  <c r="I80" i="58" s="1"/>
  <c r="N21" i="68"/>
  <c r="C21" i="68" s="1"/>
  <c r="H21" i="68" s="1"/>
  <c r="C20" i="68"/>
  <c r="H20" i="68" s="1"/>
  <c r="N22" i="68"/>
  <c r="C22" i="68" s="1"/>
  <c r="H22" i="68" s="1"/>
  <c r="N20" i="68"/>
  <c r="K109" i="58"/>
  <c r="N2" i="102"/>
  <c r="O2" i="101"/>
  <c r="O5" i="101"/>
  <c r="N5" i="102"/>
  <c r="C17" i="60"/>
  <c r="H17" i="60" s="1"/>
  <c r="N18" i="60"/>
  <c r="C18" i="60" s="1"/>
  <c r="H18" i="60" s="1"/>
  <c r="N19" i="60"/>
  <c r="C19" i="60" s="1"/>
  <c r="H19" i="60" s="1"/>
  <c r="N17" i="60"/>
  <c r="M64" i="101"/>
  <c r="M85" i="101"/>
  <c r="M104" i="101"/>
  <c r="M103" i="101"/>
  <c r="M76" i="101"/>
  <c r="M55" i="101"/>
  <c r="M79" i="101"/>
  <c r="M88" i="101"/>
  <c r="M95" i="101"/>
  <c r="M63" i="101"/>
  <c r="M59" i="101"/>
  <c r="M50" i="101"/>
  <c r="M81" i="101"/>
  <c r="M90" i="101"/>
  <c r="M86" i="101"/>
  <c r="M53" i="101"/>
  <c r="M54" i="101"/>
  <c r="M66" i="101"/>
  <c r="M99" i="101"/>
  <c r="M75" i="101"/>
  <c r="M51" i="101"/>
  <c r="M100" i="101"/>
  <c r="M73" i="101"/>
  <c r="M77" i="101"/>
  <c r="M96" i="101"/>
  <c r="M91" i="101"/>
  <c r="M78" i="101"/>
  <c r="M69" i="101"/>
  <c r="M47" i="101"/>
  <c r="M57" i="101"/>
  <c r="M93" i="101"/>
  <c r="M67" i="101"/>
  <c r="M61" i="101"/>
  <c r="M97" i="101"/>
  <c r="M92" i="101"/>
  <c r="M65" i="101"/>
  <c r="M87" i="101"/>
  <c r="M74" i="101"/>
  <c r="M60" i="101"/>
  <c r="M46" i="101"/>
  <c r="M80" i="101"/>
  <c r="M84" i="101"/>
  <c r="M71" i="101"/>
  <c r="M82" i="101"/>
  <c r="M68" i="101"/>
  <c r="M56" i="101"/>
  <c r="M89" i="101"/>
  <c r="M94" i="101"/>
  <c r="M62" i="101"/>
  <c r="M70" i="101"/>
  <c r="M49" i="101"/>
  <c r="M83" i="101"/>
  <c r="M72" i="101"/>
  <c r="M102" i="101"/>
  <c r="M48" i="101"/>
  <c r="M58" i="101"/>
  <c r="M98" i="101"/>
  <c r="M52" i="101"/>
  <c r="M101" i="101"/>
  <c r="N18" i="70"/>
  <c r="C18" i="70" s="1"/>
  <c r="H18" i="70" s="1"/>
  <c r="N19" i="70"/>
  <c r="C19" i="70" s="1"/>
  <c r="H19" i="70" s="1"/>
  <c r="C17" i="70"/>
  <c r="H17" i="70" s="1"/>
  <c r="N22" i="63"/>
  <c r="C22" i="63" s="1"/>
  <c r="H22" i="63" s="1"/>
  <c r="O7" i="102"/>
  <c r="N7" i="103"/>
  <c r="B5" i="95"/>
  <c r="O46" i="100"/>
  <c r="P23" i="100" s="1"/>
  <c r="N69" i="101"/>
  <c r="O69" i="101" s="1"/>
  <c r="N78" i="101"/>
  <c r="O78" i="101" s="1"/>
  <c r="N80" i="101"/>
  <c r="O80" i="101" s="1"/>
  <c r="N70" i="101"/>
  <c r="O70" i="101" s="1"/>
  <c r="N52" i="101"/>
  <c r="O52" i="101" s="1"/>
  <c r="N67" i="101"/>
  <c r="O67" i="101" s="1"/>
  <c r="N62" i="101"/>
  <c r="O62" i="101" s="1"/>
  <c r="N64" i="101"/>
  <c r="O64" i="101" s="1"/>
  <c r="N87" i="101"/>
  <c r="O87" i="101" s="1"/>
  <c r="N100" i="101"/>
  <c r="O100" i="101" s="1"/>
  <c r="N65" i="101"/>
  <c r="O65" i="101" s="1"/>
  <c r="N53" i="101"/>
  <c r="O53" i="101" s="1"/>
  <c r="N79" i="101"/>
  <c r="O79" i="101" s="1"/>
  <c r="N60" i="101"/>
  <c r="O60" i="101" s="1"/>
  <c r="N81" i="101"/>
  <c r="O81" i="101" s="1"/>
  <c r="N76" i="101"/>
  <c r="O76" i="101" s="1"/>
  <c r="N77" i="101"/>
  <c r="O77" i="101" s="1"/>
  <c r="N83" i="101"/>
  <c r="O83" i="101" s="1"/>
  <c r="N55" i="101"/>
  <c r="O55" i="101" s="1"/>
  <c r="N89" i="101"/>
  <c r="O89" i="101" s="1"/>
  <c r="N72" i="101"/>
  <c r="O72" i="101" s="1"/>
  <c r="N47" i="101"/>
  <c r="O47" i="101" s="1"/>
  <c r="N74" i="101"/>
  <c r="O74" i="101" s="1"/>
  <c r="N73" i="101"/>
  <c r="O73" i="101" s="1"/>
  <c r="N99" i="101"/>
  <c r="O99" i="101" s="1"/>
  <c r="N61" i="101"/>
  <c r="O61" i="101" s="1"/>
  <c r="N102" i="101"/>
  <c r="O102" i="101" s="1"/>
  <c r="N71" i="101"/>
  <c r="O71" i="101" s="1"/>
  <c r="N54" i="101"/>
  <c r="O54" i="101" s="1"/>
  <c r="N96" i="101"/>
  <c r="O96" i="101" s="1"/>
  <c r="N93" i="101"/>
  <c r="O93" i="101" s="1"/>
  <c r="N104" i="101"/>
  <c r="O104" i="101" s="1"/>
  <c r="N50" i="101"/>
  <c r="O50" i="101" s="1"/>
  <c r="N92" i="101"/>
  <c r="O92" i="101" s="1"/>
  <c r="N59" i="101"/>
  <c r="O59" i="101" s="1"/>
  <c r="N91" i="101"/>
  <c r="O91" i="101" s="1"/>
  <c r="N75" i="101"/>
  <c r="O75" i="101" s="1"/>
  <c r="N68" i="101"/>
  <c r="O68" i="101" s="1"/>
  <c r="N56" i="101"/>
  <c r="O56" i="101" s="1"/>
  <c r="N88" i="101"/>
  <c r="O88" i="101" s="1"/>
  <c r="N46" i="101"/>
  <c r="N66" i="101"/>
  <c r="O66" i="101" s="1"/>
  <c r="N98" i="101"/>
  <c r="O98" i="101" s="1"/>
  <c r="N51" i="101"/>
  <c r="O51" i="101" s="1"/>
  <c r="N84" i="101"/>
  <c r="O84" i="101" s="1"/>
  <c r="N63" i="101"/>
  <c r="O63" i="101" s="1"/>
  <c r="N101" i="101"/>
  <c r="O101" i="101" s="1"/>
  <c r="N97" i="101"/>
  <c r="O97" i="101" s="1"/>
  <c r="N103" i="101"/>
  <c r="O103" i="101" s="1"/>
  <c r="N86" i="101"/>
  <c r="O86" i="101" s="1"/>
  <c r="N94" i="101"/>
  <c r="O94" i="101" s="1"/>
  <c r="N58" i="101"/>
  <c r="O58" i="101" s="1"/>
  <c r="N90" i="101"/>
  <c r="O90" i="101" s="1"/>
  <c r="N85" i="101"/>
  <c r="O85" i="101" s="1"/>
  <c r="N48" i="101"/>
  <c r="O48" i="101" s="1"/>
  <c r="N82" i="101"/>
  <c r="O82" i="101" s="1"/>
  <c r="N49" i="101"/>
  <c r="O49" i="101" s="1"/>
  <c r="N95" i="101"/>
  <c r="O95" i="101" s="1"/>
  <c r="N57" i="101"/>
  <c r="O57" i="101" s="1"/>
  <c r="O34" i="103"/>
  <c r="N34" i="104"/>
  <c r="O34" i="104" s="1"/>
  <c r="M41" i="103"/>
  <c r="O41" i="102"/>
  <c r="O40" i="103"/>
  <c r="N40" i="104"/>
  <c r="O40" i="104" s="1"/>
  <c r="O14" i="101"/>
  <c r="M14" i="102"/>
  <c r="O25" i="103"/>
  <c r="M25" i="104"/>
  <c r="O25" i="104" s="1"/>
  <c r="N19" i="68"/>
  <c r="C19" i="68" s="1"/>
  <c r="H19" i="68" s="1"/>
  <c r="N17" i="68"/>
  <c r="C17" i="68"/>
  <c r="H17" i="68" s="1"/>
  <c r="N18" i="68"/>
  <c r="C18" i="68" s="1"/>
  <c r="H18" i="68" s="1"/>
  <c r="N19" i="102"/>
  <c r="O19" i="101"/>
  <c r="M35" i="102"/>
  <c r="O35" i="101"/>
  <c r="N21" i="66"/>
  <c r="C21" i="66" s="1"/>
  <c r="H21" i="66" s="1"/>
  <c r="N17" i="66"/>
  <c r="C17" i="66"/>
  <c r="H17" i="66" s="1"/>
  <c r="N18" i="66"/>
  <c r="C18" i="66" s="1"/>
  <c r="H18" i="66" s="1"/>
  <c r="N19" i="66"/>
  <c r="C19" i="66" s="1"/>
  <c r="H19" i="66" s="1"/>
  <c r="N17" i="70"/>
  <c r="X50" i="59"/>
  <c r="G50" i="59" s="1"/>
  <c r="Z50" i="57"/>
  <c r="I50" i="57" s="1"/>
  <c r="AD140" i="58"/>
  <c r="M140" i="58" s="1"/>
  <c r="E169" i="58"/>
  <c r="X110" i="53"/>
  <c r="G110" i="53" s="1"/>
  <c r="Z50" i="59"/>
  <c r="I50" i="59" s="1"/>
  <c r="AB80" i="59"/>
  <c r="K80" i="59" s="1"/>
  <c r="AF139" i="55"/>
  <c r="O139" i="55" s="1"/>
  <c r="V140" i="55"/>
  <c r="E140" i="55" s="1"/>
  <c r="AD20" i="59"/>
  <c r="M20" i="59" s="1"/>
  <c r="AF49" i="58"/>
  <c r="O49" i="58" s="1"/>
  <c r="AB80" i="52"/>
  <c r="K80" i="52" s="1"/>
  <c r="Z110" i="55"/>
  <c r="I110" i="55" s="1"/>
  <c r="AD110" i="53"/>
  <c r="M110" i="53" s="1"/>
  <c r="AB50" i="52"/>
  <c r="K50" i="52" s="1"/>
  <c r="AD80" i="59"/>
  <c r="M80" i="59" s="1"/>
  <c r="AD110" i="52"/>
  <c r="M110" i="52" s="1"/>
  <c r="AD20" i="52"/>
  <c r="M20" i="52" s="1"/>
  <c r="AB20" i="53"/>
  <c r="K20" i="53" s="1"/>
  <c r="AF109" i="55"/>
  <c r="O109" i="55" s="1"/>
  <c r="X140" i="58"/>
  <c r="G140" i="58" s="1"/>
  <c r="Z80" i="55"/>
  <c r="I80" i="55" s="1"/>
  <c r="AB110" i="55"/>
  <c r="K110" i="55" s="1"/>
  <c r="X80" i="52"/>
  <c r="G80" i="52" s="1"/>
  <c r="AB80" i="53"/>
  <c r="K80" i="53" s="1"/>
  <c r="V20" i="59"/>
  <c r="E20" i="59" s="1"/>
  <c r="X140" i="52"/>
  <c r="G140" i="52" s="1"/>
  <c r="Z140" i="52"/>
  <c r="I140" i="52" s="1"/>
  <c r="AD140" i="57"/>
  <c r="M140" i="57" s="1"/>
  <c r="Z110" i="58"/>
  <c r="I110" i="58" s="1"/>
  <c r="AD80" i="52"/>
  <c r="M80" i="52" s="1"/>
  <c r="AB140" i="58"/>
  <c r="K140" i="58" s="1"/>
  <c r="E169" i="52"/>
  <c r="AF169" i="52"/>
  <c r="O169" i="52" s="1"/>
  <c r="AB50" i="55"/>
  <c r="K50" i="55" s="1"/>
  <c r="K49" i="55"/>
  <c r="AB170" i="52"/>
  <c r="K170" i="52" s="1"/>
  <c r="K169" i="52"/>
  <c r="O97" i="52"/>
  <c r="Z20" i="58"/>
  <c r="I20" i="58" s="1"/>
  <c r="E169" i="59"/>
  <c r="V170" i="59"/>
  <c r="E170" i="59" s="1"/>
  <c r="X140" i="53"/>
  <c r="G140" i="53" s="1"/>
  <c r="G139" i="53"/>
  <c r="K109" i="53"/>
  <c r="AB110" i="53"/>
  <c r="K110" i="53" s="1"/>
  <c r="X20" i="53"/>
  <c r="G20" i="53" s="1"/>
  <c r="X80" i="59"/>
  <c r="G80" i="59" s="1"/>
  <c r="AD170" i="55"/>
  <c r="M170" i="55" s="1"/>
  <c r="AB50" i="59"/>
  <c r="K50" i="59" s="1"/>
  <c r="K19" i="59"/>
  <c r="AB20" i="59"/>
  <c r="K20" i="59" s="1"/>
  <c r="AB20" i="52"/>
  <c r="K20" i="52" s="1"/>
  <c r="X170" i="58"/>
  <c r="G170" i="58" s="1"/>
  <c r="AD50" i="55"/>
  <c r="M50" i="55" s="1"/>
  <c r="AD170" i="52"/>
  <c r="M170" i="52" s="1"/>
  <c r="E79" i="52"/>
  <c r="AF79" i="52"/>
  <c r="O79" i="52" s="1"/>
  <c r="X50" i="55"/>
  <c r="G50" i="55" s="1"/>
  <c r="X50" i="52"/>
  <c r="G50" i="52" s="1"/>
  <c r="G49" i="52"/>
  <c r="AF79" i="58"/>
  <c r="AF80" i="58" s="1"/>
  <c r="X110" i="59"/>
  <c r="G110" i="59" s="1"/>
  <c r="Z170" i="52"/>
  <c r="I170" i="52" s="1"/>
  <c r="I169" i="52"/>
  <c r="O67" i="52"/>
  <c r="X20" i="52"/>
  <c r="G20" i="52" s="1"/>
  <c r="I109" i="59"/>
  <c r="Z110" i="59"/>
  <c r="I110" i="59" s="1"/>
  <c r="V170" i="52"/>
  <c r="E170" i="52" s="1"/>
  <c r="AD50" i="57"/>
  <c r="M50" i="57" s="1"/>
  <c r="AF49" i="59"/>
  <c r="O49" i="59" s="1"/>
  <c r="V80" i="52"/>
  <c r="E80" i="52" s="1"/>
  <c r="Z50" i="55"/>
  <c r="I50" i="55" s="1"/>
  <c r="AF49" i="52"/>
  <c r="O49" i="52" s="1"/>
  <c r="Z50" i="52"/>
  <c r="I50" i="52" s="1"/>
  <c r="O37" i="52"/>
  <c r="O97" i="57"/>
  <c r="AB80" i="57"/>
  <c r="K80" i="57" s="1"/>
  <c r="I139" i="53"/>
  <c r="Z140" i="53"/>
  <c r="I140" i="53" s="1"/>
  <c r="Z80" i="53"/>
  <c r="I80" i="53" s="1"/>
  <c r="AD50" i="52"/>
  <c r="M50" i="52" s="1"/>
  <c r="O157" i="52"/>
  <c r="V140" i="59"/>
  <c r="E140" i="59" s="1"/>
  <c r="X110" i="52"/>
  <c r="G110" i="52" s="1"/>
  <c r="AD80" i="57"/>
  <c r="M80" i="57" s="1"/>
  <c r="O7" i="52"/>
  <c r="AD50" i="59"/>
  <c r="M50" i="59" s="1"/>
  <c r="AD110" i="57"/>
  <c r="M110" i="57" s="1"/>
  <c r="V80" i="58"/>
  <c r="E80" i="58" s="1"/>
  <c r="Z20" i="52"/>
  <c r="I20" i="52" s="1"/>
  <c r="V140" i="57"/>
  <c r="E140" i="57" s="1"/>
  <c r="Z170" i="59"/>
  <c r="I170" i="59" s="1"/>
  <c r="AD20" i="58"/>
  <c r="M20" i="58" s="1"/>
  <c r="V170" i="57"/>
  <c r="E170" i="57" s="1"/>
  <c r="AB140" i="52"/>
  <c r="K140" i="52" s="1"/>
  <c r="AF19" i="52"/>
  <c r="O19" i="52" s="1"/>
  <c r="E19" i="52"/>
  <c r="AD20" i="53"/>
  <c r="M20" i="53" s="1"/>
  <c r="M19" i="53"/>
  <c r="AF109" i="52"/>
  <c r="O109" i="52" s="1"/>
  <c r="E109" i="52"/>
  <c r="Z20" i="57"/>
  <c r="I20" i="57" s="1"/>
  <c r="AF109" i="58"/>
  <c r="O109" i="58" s="1"/>
  <c r="Z110" i="52"/>
  <c r="I110" i="52" s="1"/>
  <c r="V110" i="58"/>
  <c r="E110" i="58" s="1"/>
  <c r="X170" i="57"/>
  <c r="G170" i="57" s="1"/>
  <c r="O127" i="52"/>
  <c r="E49" i="53"/>
  <c r="V50" i="53"/>
  <c r="E50" i="53" s="1"/>
  <c r="X20" i="57"/>
  <c r="G20" i="57" s="1"/>
  <c r="AD110" i="58"/>
  <c r="M110" i="58" s="1"/>
  <c r="E139" i="52"/>
  <c r="AF139" i="52"/>
  <c r="O139" i="52" s="1"/>
  <c r="X50" i="58"/>
  <c r="G50" i="58" s="1"/>
  <c r="AB110" i="57"/>
  <c r="K110" i="57" s="1"/>
  <c r="Z20" i="55"/>
  <c r="I20" i="55" s="1"/>
  <c r="G109" i="57"/>
  <c r="AF109" i="57"/>
  <c r="O109" i="57" s="1"/>
  <c r="P29" i="100"/>
  <c r="A6" i="95"/>
  <c r="G6" i="95" s="1"/>
  <c r="AF49" i="53"/>
  <c r="O49" i="53" s="1"/>
  <c r="AD50" i="53"/>
  <c r="M50" i="53" s="1"/>
  <c r="AD50" i="58"/>
  <c r="M50" i="58" s="1"/>
  <c r="AF169" i="58"/>
  <c r="AF170" i="58" s="1"/>
  <c r="M26" i="104"/>
  <c r="O26" i="104" s="1"/>
  <c r="O26" i="103"/>
  <c r="G5" i="95"/>
  <c r="M2" i="104"/>
  <c r="F5" i="95"/>
  <c r="Z170" i="53"/>
  <c r="I170" i="53" s="1"/>
  <c r="O22" i="103"/>
  <c r="N22" i="104"/>
  <c r="O22" i="104" s="1"/>
  <c r="N9" i="104"/>
  <c r="O9" i="104" s="1"/>
  <c r="O9" i="103"/>
  <c r="I169" i="57"/>
  <c r="AF169" i="57"/>
  <c r="O169" i="57" s="1"/>
  <c r="AF49" i="57"/>
  <c r="O49" i="57" s="1"/>
  <c r="E49" i="57"/>
  <c r="O37" i="57"/>
  <c r="AF109" i="53"/>
  <c r="O109" i="53" s="1"/>
  <c r="E109" i="53"/>
  <c r="E19" i="58"/>
  <c r="AF19" i="58"/>
  <c r="O19" i="58" s="1"/>
  <c r="O16" i="53"/>
  <c r="I79" i="57"/>
  <c r="AF79" i="57"/>
  <c r="O79" i="57" s="1"/>
  <c r="V20" i="58"/>
  <c r="E20" i="58" s="1"/>
  <c r="Z170" i="57"/>
  <c r="I170" i="57" s="1"/>
  <c r="V20" i="53"/>
  <c r="E20" i="53" s="1"/>
  <c r="AF19" i="53"/>
  <c r="O19" i="53" s="1"/>
  <c r="E19" i="53"/>
  <c r="X50" i="57"/>
  <c r="G50" i="57" s="1"/>
  <c r="AB140" i="59"/>
  <c r="K140" i="59" s="1"/>
  <c r="K139" i="59"/>
  <c r="E109" i="59"/>
  <c r="AF109" i="59"/>
  <c r="O169" i="55"/>
  <c r="AF170" i="55"/>
  <c r="O7" i="57"/>
  <c r="O160" i="57"/>
  <c r="O97" i="53"/>
  <c r="G139" i="57"/>
  <c r="AF139" i="57"/>
  <c r="O139" i="57" s="1"/>
  <c r="E139" i="53"/>
  <c r="AF139" i="53"/>
  <c r="O139" i="53" s="1"/>
  <c r="O127" i="53"/>
  <c r="O67" i="59"/>
  <c r="AF79" i="59"/>
  <c r="O79" i="59" s="1"/>
  <c r="E79" i="59"/>
  <c r="G19" i="59"/>
  <c r="AF19" i="59"/>
  <c r="O19" i="59" s="1"/>
  <c r="AF49" i="55"/>
  <c r="O49" i="55" s="1"/>
  <c r="O19" i="55"/>
  <c r="AF20" i="55"/>
  <c r="Z170" i="58"/>
  <c r="I170" i="58" s="1"/>
  <c r="O7" i="59"/>
  <c r="O67" i="55"/>
  <c r="E19" i="57"/>
  <c r="AF19" i="57"/>
  <c r="O19" i="57" s="1"/>
  <c r="O43" i="53"/>
  <c r="AF50" i="53"/>
  <c r="Z50" i="58"/>
  <c r="I50" i="58" s="1"/>
  <c r="I49" i="58"/>
  <c r="AF139" i="59"/>
  <c r="O139" i="59" s="1"/>
  <c r="G139" i="59"/>
  <c r="AD170" i="59"/>
  <c r="M170" i="59" s="1"/>
  <c r="M169" i="59"/>
  <c r="O127" i="57"/>
  <c r="O7" i="58"/>
  <c r="AF139" i="58"/>
  <c r="O139" i="58" s="1"/>
  <c r="E79" i="53"/>
  <c r="AF79" i="53"/>
  <c r="AD80" i="55"/>
  <c r="M80" i="55" s="1"/>
  <c r="AB20" i="57"/>
  <c r="K20" i="57" s="1"/>
  <c r="O43" i="59"/>
  <c r="E169" i="53"/>
  <c r="AF169" i="53"/>
  <c r="O169" i="53" s="1"/>
  <c r="V170" i="53"/>
  <c r="E170" i="53" s="1"/>
  <c r="Z140" i="57"/>
  <c r="I140" i="57" s="1"/>
  <c r="Z80" i="57"/>
  <c r="I80" i="57" s="1"/>
  <c r="Z140" i="58"/>
  <c r="I140" i="58" s="1"/>
  <c r="O40" i="58"/>
  <c r="AF169" i="59"/>
  <c r="O37" i="55"/>
  <c r="Z20" i="53"/>
  <c r="I20" i="53" s="1"/>
  <c r="I19" i="53"/>
  <c r="AF79" i="55"/>
  <c r="O79" i="55" s="1"/>
  <c r="O67" i="57"/>
  <c r="V110" i="53"/>
  <c r="E110" i="53" s="1"/>
  <c r="O127" i="59"/>
  <c r="M45" i="104"/>
  <c r="O45" i="104" s="1"/>
  <c r="O8" i="101"/>
  <c r="N8" i="102"/>
  <c r="A7" i="96"/>
  <c r="B6" i="96"/>
  <c r="F6" i="96"/>
  <c r="E6" i="96"/>
  <c r="G6" i="96"/>
  <c r="A6" i="88"/>
  <c r="F5" i="88"/>
  <c r="G5" i="88"/>
  <c r="B5" i="88"/>
  <c r="E5" i="88"/>
  <c r="P4" i="100"/>
  <c r="P7" i="100"/>
  <c r="P27" i="100"/>
  <c r="P12" i="100"/>
  <c r="P70" i="100"/>
  <c r="P73" i="100"/>
  <c r="P3" i="100"/>
  <c r="P104" i="100"/>
  <c r="P86" i="100"/>
  <c r="P89" i="100"/>
  <c r="P26" i="100"/>
  <c r="P80" i="100"/>
  <c r="P15" i="100"/>
  <c r="P52" i="100"/>
  <c r="P44" i="100"/>
  <c r="P79" i="100"/>
  <c r="P28" i="100"/>
  <c r="P54" i="100"/>
  <c r="P59" i="100"/>
  <c r="P100" i="100"/>
  <c r="P53" i="100"/>
  <c r="P43" i="100"/>
  <c r="P56" i="100"/>
  <c r="P92" i="100"/>
  <c r="P19" i="100"/>
  <c r="P38" i="100"/>
  <c r="P39" i="100"/>
  <c r="P67" i="100"/>
  <c r="P14" i="100"/>
  <c r="P68" i="100"/>
  <c r="P48" i="100"/>
  <c r="P36" i="100"/>
  <c r="P95" i="100"/>
  <c r="P69" i="100"/>
  <c r="P45" i="100"/>
  <c r="P9" i="100"/>
  <c r="P76" i="100"/>
  <c r="P62" i="100"/>
  <c r="P74" i="100"/>
  <c r="P46" i="100"/>
  <c r="P60" i="100"/>
  <c r="P11" i="100"/>
  <c r="P24" i="100"/>
  <c r="P75" i="100"/>
  <c r="P41" i="100"/>
  <c r="P71" i="100"/>
  <c r="P83" i="100"/>
  <c r="P90" i="100"/>
  <c r="P34" i="100"/>
  <c r="P6" i="100"/>
  <c r="P81" i="100"/>
  <c r="P61" i="100"/>
  <c r="P40" i="100"/>
  <c r="P101" i="100"/>
  <c r="P64" i="100"/>
  <c r="P88" i="100"/>
  <c r="P51" i="100"/>
  <c r="P103" i="100"/>
  <c r="P25" i="100"/>
  <c r="P30" i="100"/>
  <c r="P102" i="100"/>
  <c r="P16" i="100"/>
  <c r="P77" i="100"/>
  <c r="P96" i="100"/>
  <c r="P18" i="100"/>
  <c r="P13" i="100"/>
  <c r="P35" i="100"/>
  <c r="P63" i="100"/>
  <c r="P72" i="100"/>
  <c r="P78" i="100"/>
  <c r="P66" i="100"/>
  <c r="P8" i="100"/>
  <c r="P31" i="100"/>
  <c r="P22" i="100"/>
  <c r="P5" i="100"/>
  <c r="P94" i="100"/>
  <c r="P85" i="100"/>
  <c r="P57" i="100"/>
  <c r="P10" i="100"/>
  <c r="P42" i="100"/>
  <c r="P49" i="100"/>
  <c r="P2" i="100"/>
  <c r="P98" i="100"/>
  <c r="P58" i="100"/>
  <c r="P97" i="100"/>
  <c r="P93" i="100"/>
  <c r="P50" i="100"/>
  <c r="P82" i="100"/>
  <c r="P37" i="100"/>
  <c r="P99" i="100"/>
  <c r="P47" i="100"/>
  <c r="P84" i="100"/>
  <c r="P87" i="100"/>
  <c r="P55" i="100"/>
  <c r="P32" i="100"/>
  <c r="P65" i="100"/>
  <c r="P91" i="100"/>
  <c r="N21" i="63"/>
  <c r="C21" i="63" s="1"/>
  <c r="H21" i="63" s="1"/>
  <c r="M20" i="102"/>
  <c r="O20" i="101"/>
  <c r="B6" i="97"/>
  <c r="F6" i="97"/>
  <c r="E6" i="97"/>
  <c r="A7" i="97"/>
  <c r="G6" i="97"/>
  <c r="O17" i="101"/>
  <c r="N17" i="102"/>
  <c r="C20" i="63"/>
  <c r="H20" i="63" s="1"/>
  <c r="P20" i="100"/>
  <c r="N20" i="66"/>
  <c r="P17" i="100"/>
  <c r="O21" i="101"/>
  <c r="N21" i="102"/>
  <c r="C5" i="95"/>
  <c r="D5" i="95"/>
  <c r="O29" i="102"/>
  <c r="N29" i="103"/>
  <c r="B5" i="99"/>
  <c r="A6" i="99"/>
  <c r="G5" i="99"/>
  <c r="E5" i="99"/>
  <c r="F5" i="99"/>
  <c r="P21" i="100"/>
  <c r="M33" i="102"/>
  <c r="O33" i="101"/>
  <c r="C5" i="96"/>
  <c r="D5" i="96"/>
  <c r="F5" i="98"/>
  <c r="G5" i="98"/>
  <c r="B5" i="98"/>
  <c r="A6" i="98"/>
  <c r="E5" i="98"/>
  <c r="N20" i="69"/>
  <c r="C20" i="69"/>
  <c r="H20" i="69" s="1"/>
  <c r="N21" i="69"/>
  <c r="C21" i="69" s="1"/>
  <c r="H21" i="69" s="1"/>
  <c r="N22" i="69"/>
  <c r="C22" i="69" s="1"/>
  <c r="H22" i="69" s="1"/>
  <c r="O23" i="101"/>
  <c r="N23" i="102"/>
  <c r="P33" i="100"/>
  <c r="N18" i="104"/>
  <c r="O18" i="104" s="1"/>
  <c r="O18" i="103"/>
  <c r="AF140" i="55"/>
  <c r="C5" i="97"/>
  <c r="D5" i="97"/>
  <c r="AF50" i="58" l="1"/>
  <c r="BA50" i="58" s="1"/>
  <c r="BM50" i="58" s="1"/>
  <c r="O79" i="58"/>
  <c r="O35" i="102"/>
  <c r="M35" i="103"/>
  <c r="O14" i="102"/>
  <c r="M14" i="103"/>
  <c r="N19" i="103"/>
  <c r="O19" i="102"/>
  <c r="N66" i="102"/>
  <c r="O66" i="102" s="1"/>
  <c r="N51" i="102"/>
  <c r="O51" i="102" s="1"/>
  <c r="N85" i="102"/>
  <c r="O85" i="102" s="1"/>
  <c r="N59" i="102"/>
  <c r="O59" i="102" s="1"/>
  <c r="N63" i="102"/>
  <c r="O63" i="102" s="1"/>
  <c r="N84" i="102"/>
  <c r="O84" i="102" s="1"/>
  <c r="O46" i="101"/>
  <c r="N77" i="102"/>
  <c r="O77" i="102" s="1"/>
  <c r="N64" i="102"/>
  <c r="O64" i="102" s="1"/>
  <c r="N50" i="102"/>
  <c r="O50" i="102" s="1"/>
  <c r="N102" i="102"/>
  <c r="O102" i="102" s="1"/>
  <c r="N71" i="102"/>
  <c r="O71" i="102" s="1"/>
  <c r="N65" i="102"/>
  <c r="O65" i="102" s="1"/>
  <c r="N104" i="102"/>
  <c r="O104" i="102" s="1"/>
  <c r="N61" i="102"/>
  <c r="O61" i="102" s="1"/>
  <c r="N70" i="102"/>
  <c r="O70" i="102" s="1"/>
  <c r="N91" i="102"/>
  <c r="O91" i="102" s="1"/>
  <c r="N95" i="102"/>
  <c r="O95" i="102" s="1"/>
  <c r="N62" i="102"/>
  <c r="O62" i="102" s="1"/>
  <c r="N87" i="102"/>
  <c r="O87" i="102" s="1"/>
  <c r="N82" i="102"/>
  <c r="O82" i="102" s="1"/>
  <c r="N48" i="102"/>
  <c r="O48" i="102" s="1"/>
  <c r="N78" i="102"/>
  <c r="O78" i="102" s="1"/>
  <c r="N80" i="102"/>
  <c r="O80" i="102" s="1"/>
  <c r="N58" i="102"/>
  <c r="O58" i="102" s="1"/>
  <c r="N68" i="102"/>
  <c r="O68" i="102" s="1"/>
  <c r="N103" i="102"/>
  <c r="O103" i="102" s="1"/>
  <c r="N75" i="102"/>
  <c r="O75" i="102" s="1"/>
  <c r="N52" i="102"/>
  <c r="O52" i="102" s="1"/>
  <c r="N96" i="102"/>
  <c r="O96" i="102" s="1"/>
  <c r="N98" i="102"/>
  <c r="O98" i="102" s="1"/>
  <c r="N90" i="102"/>
  <c r="O90" i="102" s="1"/>
  <c r="N47" i="102"/>
  <c r="O47" i="102" s="1"/>
  <c r="N89" i="102"/>
  <c r="O89" i="102" s="1"/>
  <c r="N49" i="102"/>
  <c r="O49" i="102" s="1"/>
  <c r="N97" i="102"/>
  <c r="O97" i="102" s="1"/>
  <c r="N55" i="102"/>
  <c r="O55" i="102" s="1"/>
  <c r="N79" i="102"/>
  <c r="O79" i="102" s="1"/>
  <c r="N74" i="102"/>
  <c r="O74" i="102" s="1"/>
  <c r="N73" i="102"/>
  <c r="O73" i="102" s="1"/>
  <c r="N92" i="102"/>
  <c r="O92" i="102" s="1"/>
  <c r="N99" i="102"/>
  <c r="O99" i="102" s="1"/>
  <c r="N83" i="102"/>
  <c r="O83" i="102" s="1"/>
  <c r="N54" i="102"/>
  <c r="O54" i="102" s="1"/>
  <c r="N101" i="102"/>
  <c r="O101" i="102" s="1"/>
  <c r="N93" i="102"/>
  <c r="O93" i="102" s="1"/>
  <c r="N94" i="102"/>
  <c r="O94" i="102" s="1"/>
  <c r="N76" i="102"/>
  <c r="O76" i="102" s="1"/>
  <c r="N81" i="102"/>
  <c r="O81" i="102" s="1"/>
  <c r="N69" i="102"/>
  <c r="O69" i="102" s="1"/>
  <c r="N67" i="102"/>
  <c r="O67" i="102" s="1"/>
  <c r="N53" i="102"/>
  <c r="O53" i="102" s="1"/>
  <c r="N57" i="102"/>
  <c r="O57" i="102" s="1"/>
  <c r="N100" i="102"/>
  <c r="O100" i="102" s="1"/>
  <c r="N72" i="102"/>
  <c r="O72" i="102" s="1"/>
  <c r="N60" i="102"/>
  <c r="O60" i="102" s="1"/>
  <c r="N86" i="102"/>
  <c r="O86" i="102" s="1"/>
  <c r="N46" i="102"/>
  <c r="N88" i="102"/>
  <c r="O88" i="102" s="1"/>
  <c r="N56" i="102"/>
  <c r="O56" i="102" s="1"/>
  <c r="N5" i="103"/>
  <c r="O5" i="102"/>
  <c r="M41" i="104"/>
  <c r="O41" i="104" s="1"/>
  <c r="O41" i="103"/>
  <c r="O7" i="103"/>
  <c r="N7" i="104"/>
  <c r="O7" i="104" s="1"/>
  <c r="M81" i="102"/>
  <c r="M76" i="102"/>
  <c r="M49" i="102"/>
  <c r="M79" i="102"/>
  <c r="M104" i="102"/>
  <c r="M47" i="102"/>
  <c r="M78" i="102"/>
  <c r="M94" i="102"/>
  <c r="M101" i="102"/>
  <c r="M96" i="102"/>
  <c r="M70" i="102"/>
  <c r="M66" i="102"/>
  <c r="M89" i="102"/>
  <c r="M91" i="102"/>
  <c r="M75" i="102"/>
  <c r="M64" i="102"/>
  <c r="M48" i="102"/>
  <c r="M63" i="102"/>
  <c r="M73" i="102"/>
  <c r="M88" i="102"/>
  <c r="M53" i="102"/>
  <c r="M58" i="102"/>
  <c r="M56" i="102"/>
  <c r="M99" i="102"/>
  <c r="M80" i="102"/>
  <c r="M54" i="102"/>
  <c r="M69" i="102"/>
  <c r="M98" i="102"/>
  <c r="M71" i="102"/>
  <c r="M82" i="102"/>
  <c r="M102" i="102"/>
  <c r="M60" i="102"/>
  <c r="M90" i="102"/>
  <c r="M55" i="102"/>
  <c r="M72" i="102"/>
  <c r="M50" i="102"/>
  <c r="M46" i="102"/>
  <c r="M87" i="102"/>
  <c r="M77" i="102"/>
  <c r="M86" i="102"/>
  <c r="M67" i="102"/>
  <c r="M100" i="102"/>
  <c r="M85" i="102"/>
  <c r="M103" i="102"/>
  <c r="M57" i="102"/>
  <c r="M61" i="102"/>
  <c r="M95" i="102"/>
  <c r="M83" i="102"/>
  <c r="M52" i="102"/>
  <c r="M68" i="102"/>
  <c r="M92" i="102"/>
  <c r="M97" i="102"/>
  <c r="M59" i="102"/>
  <c r="M93" i="102"/>
  <c r="M84" i="102"/>
  <c r="M74" i="102"/>
  <c r="M51" i="102"/>
  <c r="M62" i="102"/>
  <c r="M65" i="102"/>
  <c r="N2" i="103"/>
  <c r="O2" i="102"/>
  <c r="AF50" i="59"/>
  <c r="BA50" i="59" s="1"/>
  <c r="BM50" i="59" s="1"/>
  <c r="AF110" i="55"/>
  <c r="BA110" i="55" s="1"/>
  <c r="BM110" i="55" s="1"/>
  <c r="AF20" i="58"/>
  <c r="BA20" i="58" s="1"/>
  <c r="BM20" i="58" s="1"/>
  <c r="AF140" i="52"/>
  <c r="BA140" i="52" s="1"/>
  <c r="BM140" i="52" s="1"/>
  <c r="AF80" i="52"/>
  <c r="BA80" i="52" s="1"/>
  <c r="BM80" i="52" s="1"/>
  <c r="AF170" i="57"/>
  <c r="AF170" i="52"/>
  <c r="BA170" i="52" s="1"/>
  <c r="BM170" i="52" s="1"/>
  <c r="AF50" i="52"/>
  <c r="BA50" i="52" s="1"/>
  <c r="BM50" i="52" s="1"/>
  <c r="AF110" i="52"/>
  <c r="BA110" i="52" s="1"/>
  <c r="BM110" i="52" s="1"/>
  <c r="AF110" i="53"/>
  <c r="O110" i="53" s="1"/>
  <c r="AF20" i="52"/>
  <c r="AF50" i="55"/>
  <c r="O50" i="55" s="1"/>
  <c r="O140" i="52"/>
  <c r="AF110" i="58"/>
  <c r="O80" i="52"/>
  <c r="AF110" i="57"/>
  <c r="F6" i="95"/>
  <c r="AF80" i="59"/>
  <c r="BA80" i="59" s="1"/>
  <c r="BM80" i="59" s="1"/>
  <c r="B6" i="95"/>
  <c r="D6" i="95" s="1"/>
  <c r="A7" i="95"/>
  <c r="AF140" i="57"/>
  <c r="O140" i="57" s="1"/>
  <c r="AF140" i="53"/>
  <c r="O140" i="53" s="1"/>
  <c r="O169" i="58"/>
  <c r="E6" i="95"/>
  <c r="P29" i="101"/>
  <c r="AF50" i="57"/>
  <c r="BA50" i="57" s="1"/>
  <c r="BM50" i="57" s="1"/>
  <c r="AF140" i="59"/>
  <c r="BA140" i="59" s="1"/>
  <c r="BM140" i="59" s="1"/>
  <c r="P21" i="101"/>
  <c r="O50" i="53"/>
  <c r="BA50" i="53"/>
  <c r="BM50" i="53" s="1"/>
  <c r="O79" i="53"/>
  <c r="AF80" i="53"/>
  <c r="BA170" i="57"/>
  <c r="BM170" i="57" s="1"/>
  <c r="O170" i="57"/>
  <c r="AF170" i="53"/>
  <c r="AF20" i="53"/>
  <c r="AF110" i="59"/>
  <c r="O109" i="59"/>
  <c r="AF80" i="57"/>
  <c r="O169" i="59"/>
  <c r="AF170" i="59"/>
  <c r="AF140" i="58"/>
  <c r="AF80" i="55"/>
  <c r="AF20" i="57"/>
  <c r="BA80" i="58"/>
  <c r="BM80" i="58" s="1"/>
  <c r="O80" i="58"/>
  <c r="O20" i="55"/>
  <c r="BA20" i="55"/>
  <c r="BM20" i="55" s="1"/>
  <c r="BA110" i="53"/>
  <c r="BM110" i="53" s="1"/>
  <c r="AF20" i="59"/>
  <c r="BA170" i="55"/>
  <c r="BM170" i="55" s="1"/>
  <c r="O170" i="55"/>
  <c r="BA170" i="58"/>
  <c r="BM170" i="58" s="1"/>
  <c r="O170" i="58"/>
  <c r="P33" i="101"/>
  <c r="M33" i="103"/>
  <c r="O33" i="102"/>
  <c r="F5" i="100"/>
  <c r="B5" i="100"/>
  <c r="A6" i="100"/>
  <c r="G5" i="100"/>
  <c r="E5" i="100"/>
  <c r="A7" i="99"/>
  <c r="G6" i="99"/>
  <c r="F6" i="99"/>
  <c r="E6" i="99"/>
  <c r="B6" i="99"/>
  <c r="O29" i="103"/>
  <c r="N29" i="104"/>
  <c r="O29" i="104" s="1"/>
  <c r="O17" i="102"/>
  <c r="N17" i="103"/>
  <c r="BA140" i="55"/>
  <c r="BM140" i="55" s="1"/>
  <c r="O140" i="55"/>
  <c r="C5" i="99"/>
  <c r="D5" i="99"/>
  <c r="P17" i="101"/>
  <c r="B7" i="97"/>
  <c r="E7" i="97"/>
  <c r="A8" i="97"/>
  <c r="F7" i="97"/>
  <c r="G7" i="97"/>
  <c r="D6" i="96"/>
  <c r="C6" i="96"/>
  <c r="N23" i="103"/>
  <c r="O23" i="102"/>
  <c r="P23" i="101"/>
  <c r="F6" i="98"/>
  <c r="G6" i="98"/>
  <c r="E6" i="98"/>
  <c r="A7" i="98"/>
  <c r="B6" i="98"/>
  <c r="D5" i="88"/>
  <c r="C5" i="88"/>
  <c r="G7" i="96"/>
  <c r="B7" i="96"/>
  <c r="F7" i="96"/>
  <c r="A8" i="96"/>
  <c r="E7" i="96"/>
  <c r="O8" i="102"/>
  <c r="N8" i="103"/>
  <c r="C6" i="95"/>
  <c r="N21" i="103"/>
  <c r="O21" i="102"/>
  <c r="C6" i="97"/>
  <c r="D6" i="97"/>
  <c r="P31" i="101"/>
  <c r="P68" i="101"/>
  <c r="P47" i="101"/>
  <c r="P50" i="101"/>
  <c r="P95" i="101"/>
  <c r="P83" i="101"/>
  <c r="P27" i="101"/>
  <c r="P24" i="101"/>
  <c r="P67" i="101"/>
  <c r="P79" i="101"/>
  <c r="P5" i="101"/>
  <c r="P46" i="101"/>
  <c r="P19" i="101"/>
  <c r="P35" i="101"/>
  <c r="P71" i="101"/>
  <c r="P11" i="101"/>
  <c r="P2" i="101"/>
  <c r="P40" i="101"/>
  <c r="P69" i="101"/>
  <c r="P49" i="101"/>
  <c r="P58" i="101"/>
  <c r="P26" i="101"/>
  <c r="P41" i="101"/>
  <c r="P52" i="101"/>
  <c r="P87" i="101"/>
  <c r="P74" i="101"/>
  <c r="P28" i="101"/>
  <c r="P37" i="101"/>
  <c r="P30" i="101"/>
  <c r="P7" i="101"/>
  <c r="P8" i="101"/>
  <c r="P48" i="101"/>
  <c r="P103" i="101"/>
  <c r="P4" i="101"/>
  <c r="P6" i="101"/>
  <c r="P64" i="101"/>
  <c r="P84" i="101"/>
  <c r="P34" i="101"/>
  <c r="P42" i="101"/>
  <c r="P77" i="101"/>
  <c r="P76" i="101"/>
  <c r="P53" i="101"/>
  <c r="P75" i="101"/>
  <c r="P91" i="101"/>
  <c r="P92" i="101"/>
  <c r="P93" i="101"/>
  <c r="P38" i="101"/>
  <c r="P51" i="101"/>
  <c r="P63" i="101"/>
  <c r="P62" i="101"/>
  <c r="P101" i="101"/>
  <c r="P10" i="101"/>
  <c r="P59" i="101"/>
  <c r="P81" i="101"/>
  <c r="P25" i="101"/>
  <c r="P90" i="101"/>
  <c r="P86" i="101"/>
  <c r="P15" i="101"/>
  <c r="P70" i="101"/>
  <c r="P12" i="101"/>
  <c r="P32" i="101"/>
  <c r="P99" i="101"/>
  <c r="P82" i="101"/>
  <c r="P72" i="101"/>
  <c r="P45" i="101"/>
  <c r="P66" i="101"/>
  <c r="P36" i="101"/>
  <c r="P100" i="101"/>
  <c r="P44" i="101"/>
  <c r="P43" i="101"/>
  <c r="P56" i="101"/>
  <c r="P78" i="101"/>
  <c r="P22" i="101"/>
  <c r="P3" i="101"/>
  <c r="P94" i="101"/>
  <c r="P104" i="101"/>
  <c r="P73" i="101"/>
  <c r="P89" i="101"/>
  <c r="P9" i="101"/>
  <c r="P65" i="101"/>
  <c r="P39" i="101"/>
  <c r="P60" i="101"/>
  <c r="P61" i="101"/>
  <c r="P85" i="101"/>
  <c r="P14" i="101"/>
  <c r="P57" i="101"/>
  <c r="P96" i="101"/>
  <c r="P98" i="101"/>
  <c r="P88" i="101"/>
  <c r="P102" i="101"/>
  <c r="P13" i="101"/>
  <c r="P80" i="101"/>
  <c r="P55" i="101"/>
  <c r="P54" i="101"/>
  <c r="P97" i="101"/>
  <c r="P16" i="101"/>
  <c r="P18" i="101"/>
  <c r="A8" i="95"/>
  <c r="G7" i="95"/>
  <c r="F7" i="95"/>
  <c r="B7" i="95"/>
  <c r="E7" i="95"/>
  <c r="P20" i="101"/>
  <c r="E6" i="88"/>
  <c r="F6" i="88"/>
  <c r="A7" i="88"/>
  <c r="B6" i="88"/>
  <c r="G6" i="88"/>
  <c r="D5" i="98"/>
  <c r="C5" i="98"/>
  <c r="M20" i="103"/>
  <c r="O20" i="102"/>
  <c r="O50" i="58" l="1"/>
  <c r="O46" i="102"/>
  <c r="N75" i="103"/>
  <c r="O75" i="103" s="1"/>
  <c r="N48" i="103"/>
  <c r="O48" i="103" s="1"/>
  <c r="N86" i="103"/>
  <c r="O86" i="103" s="1"/>
  <c r="N84" i="103"/>
  <c r="O84" i="103" s="1"/>
  <c r="N85" i="103"/>
  <c r="O85" i="103" s="1"/>
  <c r="N104" i="103"/>
  <c r="O104" i="103" s="1"/>
  <c r="N95" i="103"/>
  <c r="O95" i="103" s="1"/>
  <c r="N76" i="103"/>
  <c r="O76" i="103" s="1"/>
  <c r="N68" i="103"/>
  <c r="O68" i="103" s="1"/>
  <c r="N61" i="103"/>
  <c r="O61" i="103" s="1"/>
  <c r="N90" i="103"/>
  <c r="O90" i="103" s="1"/>
  <c r="N98" i="103"/>
  <c r="O98" i="103" s="1"/>
  <c r="N46" i="103"/>
  <c r="N52" i="103"/>
  <c r="O52" i="103" s="1"/>
  <c r="N56" i="103"/>
  <c r="O56" i="103" s="1"/>
  <c r="N57" i="103"/>
  <c r="O57" i="103" s="1"/>
  <c r="N79" i="103"/>
  <c r="O79" i="103" s="1"/>
  <c r="N82" i="103"/>
  <c r="O82" i="103" s="1"/>
  <c r="N49" i="103"/>
  <c r="O49" i="103" s="1"/>
  <c r="N47" i="103"/>
  <c r="O47" i="103" s="1"/>
  <c r="N83" i="103"/>
  <c r="O83" i="103" s="1"/>
  <c r="N102" i="103"/>
  <c r="O102" i="103" s="1"/>
  <c r="N93" i="103"/>
  <c r="O93" i="103" s="1"/>
  <c r="N73" i="103"/>
  <c r="O73" i="103" s="1"/>
  <c r="N87" i="103"/>
  <c r="O87" i="103" s="1"/>
  <c r="N74" i="103"/>
  <c r="O74" i="103" s="1"/>
  <c r="N53" i="103"/>
  <c r="O53" i="103" s="1"/>
  <c r="N97" i="103"/>
  <c r="O97" i="103" s="1"/>
  <c r="N78" i="103"/>
  <c r="O78" i="103" s="1"/>
  <c r="N59" i="103"/>
  <c r="O59" i="103" s="1"/>
  <c r="N67" i="103"/>
  <c r="O67" i="103" s="1"/>
  <c r="N63" i="103"/>
  <c r="O63" i="103" s="1"/>
  <c r="N50" i="103"/>
  <c r="O50" i="103" s="1"/>
  <c r="N64" i="103"/>
  <c r="O64" i="103" s="1"/>
  <c r="N92" i="103"/>
  <c r="O92" i="103" s="1"/>
  <c r="N65" i="103"/>
  <c r="O65" i="103" s="1"/>
  <c r="N96" i="103"/>
  <c r="O96" i="103" s="1"/>
  <c r="N88" i="103"/>
  <c r="O88" i="103" s="1"/>
  <c r="N69" i="103"/>
  <c r="O69" i="103" s="1"/>
  <c r="N103" i="103"/>
  <c r="O103" i="103" s="1"/>
  <c r="N62" i="103"/>
  <c r="O62" i="103" s="1"/>
  <c r="N70" i="103"/>
  <c r="O70" i="103" s="1"/>
  <c r="N60" i="103"/>
  <c r="O60" i="103" s="1"/>
  <c r="N91" i="103"/>
  <c r="O91" i="103" s="1"/>
  <c r="N77" i="103"/>
  <c r="O77" i="103" s="1"/>
  <c r="N58" i="103"/>
  <c r="O58" i="103" s="1"/>
  <c r="N72" i="103"/>
  <c r="O72" i="103" s="1"/>
  <c r="N100" i="103"/>
  <c r="O100" i="103" s="1"/>
  <c r="N66" i="103"/>
  <c r="O66" i="103" s="1"/>
  <c r="N71" i="103"/>
  <c r="O71" i="103" s="1"/>
  <c r="N80" i="103"/>
  <c r="O80" i="103" s="1"/>
  <c r="N54" i="103"/>
  <c r="O54" i="103" s="1"/>
  <c r="N94" i="103"/>
  <c r="O94" i="103" s="1"/>
  <c r="N51" i="103"/>
  <c r="O51" i="103" s="1"/>
  <c r="N101" i="103"/>
  <c r="O101" i="103" s="1"/>
  <c r="N99" i="103"/>
  <c r="O99" i="103" s="1"/>
  <c r="N55" i="103"/>
  <c r="O55" i="103" s="1"/>
  <c r="N89" i="103"/>
  <c r="O89" i="103" s="1"/>
  <c r="N81" i="103"/>
  <c r="O81" i="103" s="1"/>
  <c r="O20" i="58"/>
  <c r="O50" i="59"/>
  <c r="M91" i="103"/>
  <c r="M81" i="103"/>
  <c r="M59" i="103"/>
  <c r="M85" i="103"/>
  <c r="M86" i="103"/>
  <c r="M50" i="103"/>
  <c r="M98" i="103"/>
  <c r="M58" i="103"/>
  <c r="M47" i="103"/>
  <c r="M60" i="103"/>
  <c r="M76" i="103"/>
  <c r="M89" i="103"/>
  <c r="M88" i="103"/>
  <c r="M101" i="103"/>
  <c r="M66" i="103"/>
  <c r="M74" i="103"/>
  <c r="M67" i="103"/>
  <c r="M100" i="103"/>
  <c r="M55" i="103"/>
  <c r="M82" i="103"/>
  <c r="M92" i="103"/>
  <c r="M95" i="103"/>
  <c r="M93" i="103"/>
  <c r="M49" i="103"/>
  <c r="M56" i="103"/>
  <c r="M102" i="103"/>
  <c r="M80" i="103"/>
  <c r="M83" i="103"/>
  <c r="M94" i="103"/>
  <c r="M78" i="103"/>
  <c r="M54" i="103"/>
  <c r="M72" i="103"/>
  <c r="M46" i="103"/>
  <c r="M71" i="103"/>
  <c r="M63" i="103"/>
  <c r="M70" i="103"/>
  <c r="M84" i="103"/>
  <c r="M99" i="103"/>
  <c r="M68" i="103"/>
  <c r="M53" i="103"/>
  <c r="M48" i="103"/>
  <c r="M90" i="103"/>
  <c r="M65" i="103"/>
  <c r="M87" i="103"/>
  <c r="M69" i="103"/>
  <c r="M52" i="103"/>
  <c r="M79" i="103"/>
  <c r="M73" i="103"/>
  <c r="M97" i="103"/>
  <c r="M77" i="103"/>
  <c r="M51" i="103"/>
  <c r="M62" i="103"/>
  <c r="M64" i="103"/>
  <c r="M61" i="103"/>
  <c r="M104" i="103"/>
  <c r="M103" i="103"/>
  <c r="M75" i="103"/>
  <c r="M57" i="103"/>
  <c r="M96" i="103"/>
  <c r="P21" i="102"/>
  <c r="N2" i="104"/>
  <c r="O2" i="104" s="1"/>
  <c r="O2" i="103"/>
  <c r="N19" i="104"/>
  <c r="O19" i="104" s="1"/>
  <c r="O19" i="103"/>
  <c r="O14" i="103"/>
  <c r="M14" i="104"/>
  <c r="O14" i="104" s="1"/>
  <c r="O5" i="103"/>
  <c r="N5" i="104"/>
  <c r="O5" i="104" s="1"/>
  <c r="M35" i="104"/>
  <c r="O35" i="104" s="1"/>
  <c r="O35" i="103"/>
  <c r="O50" i="52"/>
  <c r="O110" i="55"/>
  <c r="O170" i="52"/>
  <c r="O110" i="52"/>
  <c r="BA140" i="57"/>
  <c r="BM140" i="57" s="1"/>
  <c r="BA140" i="53"/>
  <c r="BM140" i="53" s="1"/>
  <c r="O50" i="57"/>
  <c r="BA50" i="55"/>
  <c r="BM50" i="55" s="1"/>
  <c r="O110" i="58"/>
  <c r="BA110" i="58"/>
  <c r="BM110" i="58" s="1"/>
  <c r="O110" i="57"/>
  <c r="BA110" i="57"/>
  <c r="BM110" i="57" s="1"/>
  <c r="O20" i="52"/>
  <c r="BA20" i="52"/>
  <c r="BM20" i="52" s="1"/>
  <c r="BN20" i="52" s="1"/>
  <c r="O140" i="59"/>
  <c r="O80" i="59"/>
  <c r="BA20" i="53"/>
  <c r="BM20" i="53" s="1"/>
  <c r="O20" i="53"/>
  <c r="O80" i="55"/>
  <c r="BA80" i="55"/>
  <c r="BM80" i="55" s="1"/>
  <c r="O170" i="53"/>
  <c r="BA170" i="53"/>
  <c r="BM170" i="53" s="1"/>
  <c r="O140" i="58"/>
  <c r="BA140" i="58"/>
  <c r="BM140" i="58" s="1"/>
  <c r="O20" i="57"/>
  <c r="BA20" i="57"/>
  <c r="BM20" i="57" s="1"/>
  <c r="BA170" i="59"/>
  <c r="BM170" i="59" s="1"/>
  <c r="O170" i="59"/>
  <c r="O80" i="57"/>
  <c r="BA80" i="57"/>
  <c r="BM80" i="57" s="1"/>
  <c r="BA80" i="53"/>
  <c r="BM80" i="53" s="1"/>
  <c r="O80" i="53"/>
  <c r="BA20" i="59"/>
  <c r="BM20" i="59" s="1"/>
  <c r="O20" i="59"/>
  <c r="BA110" i="59"/>
  <c r="BM110" i="59" s="1"/>
  <c r="O110" i="59"/>
  <c r="F7" i="98"/>
  <c r="B7" i="98"/>
  <c r="G7" i="98"/>
  <c r="A8" i="98"/>
  <c r="E7" i="98"/>
  <c r="C5" i="100"/>
  <c r="D5" i="100"/>
  <c r="G7" i="88"/>
  <c r="A8" i="88"/>
  <c r="F7" i="88"/>
  <c r="B7" i="88"/>
  <c r="E7" i="88"/>
  <c r="O21" i="103"/>
  <c r="N21" i="104"/>
  <c r="O21" i="104" s="1"/>
  <c r="O8" i="103"/>
  <c r="N8" i="104"/>
  <c r="O8" i="104" s="1"/>
  <c r="P8" i="102"/>
  <c r="P88" i="102"/>
  <c r="P82" i="102"/>
  <c r="P104" i="102"/>
  <c r="P96" i="102"/>
  <c r="P67" i="102"/>
  <c r="P89" i="102"/>
  <c r="P90" i="102"/>
  <c r="P58" i="102"/>
  <c r="P11" i="102"/>
  <c r="P87" i="102"/>
  <c r="P27" i="102"/>
  <c r="P7" i="102"/>
  <c r="P31" i="102"/>
  <c r="P2" i="102"/>
  <c r="P44" i="102"/>
  <c r="P98" i="102"/>
  <c r="P79" i="102"/>
  <c r="P40" i="102"/>
  <c r="P91" i="102"/>
  <c r="P39" i="102"/>
  <c r="P83" i="102"/>
  <c r="P66" i="102"/>
  <c r="P100" i="102"/>
  <c r="P46" i="102"/>
  <c r="P36" i="102"/>
  <c r="P38" i="102"/>
  <c r="P26" i="102"/>
  <c r="P74" i="102"/>
  <c r="P103" i="102"/>
  <c r="P93" i="102"/>
  <c r="P81" i="102"/>
  <c r="P49" i="102"/>
  <c r="P30" i="102"/>
  <c r="P92" i="102"/>
  <c r="P97" i="102"/>
  <c r="P34" i="102"/>
  <c r="P57" i="102"/>
  <c r="P4" i="102"/>
  <c r="P19" i="102"/>
  <c r="P3" i="102"/>
  <c r="P41" i="102"/>
  <c r="P25" i="102"/>
  <c r="P14" i="102"/>
  <c r="P55" i="102"/>
  <c r="P28" i="102"/>
  <c r="P15" i="102"/>
  <c r="P84" i="102"/>
  <c r="P22" i="102"/>
  <c r="P50" i="102"/>
  <c r="P85" i="102"/>
  <c r="P73" i="102"/>
  <c r="P43" i="102"/>
  <c r="P32" i="102"/>
  <c r="P6" i="102"/>
  <c r="P94" i="102"/>
  <c r="P75" i="102"/>
  <c r="P76" i="102"/>
  <c r="P45" i="102"/>
  <c r="P77" i="102"/>
  <c r="P72" i="102"/>
  <c r="P65" i="102"/>
  <c r="P51" i="102"/>
  <c r="P61" i="102"/>
  <c r="P10" i="102"/>
  <c r="P68" i="102"/>
  <c r="P47" i="102"/>
  <c r="P59" i="102"/>
  <c r="P13" i="102"/>
  <c r="P64" i="102"/>
  <c r="P52" i="102"/>
  <c r="P101" i="102"/>
  <c r="P80" i="102"/>
  <c r="P42" i="102"/>
  <c r="P102" i="102"/>
  <c r="P69" i="102"/>
  <c r="P48" i="102"/>
  <c r="P99" i="102"/>
  <c r="P56" i="102"/>
  <c r="P37" i="102"/>
  <c r="P71" i="102"/>
  <c r="P12" i="102"/>
  <c r="P9" i="102"/>
  <c r="P70" i="102"/>
  <c r="P53" i="102"/>
  <c r="P78" i="102"/>
  <c r="P62" i="102"/>
  <c r="P86" i="102"/>
  <c r="P95" i="102"/>
  <c r="P5" i="102"/>
  <c r="P24" i="102"/>
  <c r="P54" i="102"/>
  <c r="P35" i="102"/>
  <c r="P60" i="102"/>
  <c r="P63" i="102"/>
  <c r="P16" i="102"/>
  <c r="P18" i="102"/>
  <c r="D7" i="97"/>
  <c r="C7" i="97"/>
  <c r="P20" i="102"/>
  <c r="A9" i="95"/>
  <c r="F8" i="95"/>
  <c r="G8" i="95"/>
  <c r="E8" i="95"/>
  <c r="B8" i="95"/>
  <c r="BN80" i="55"/>
  <c r="D6" i="99"/>
  <c r="C6" i="99"/>
  <c r="M20" i="104"/>
  <c r="O20" i="104" s="1"/>
  <c r="O20" i="103"/>
  <c r="A6" i="101"/>
  <c r="F5" i="101"/>
  <c r="B5" i="101"/>
  <c r="G5" i="101"/>
  <c r="E5" i="101"/>
  <c r="N17" i="104"/>
  <c r="O17" i="104" s="1"/>
  <c r="O17" i="103"/>
  <c r="B7" i="99"/>
  <c r="A8" i="99"/>
  <c r="E7" i="99"/>
  <c r="F7" i="99"/>
  <c r="G7" i="99"/>
  <c r="D6" i="88"/>
  <c r="C6" i="88"/>
  <c r="E8" i="97"/>
  <c r="A9" i="97"/>
  <c r="G8" i="97"/>
  <c r="F8" i="97"/>
  <c r="B8" i="97"/>
  <c r="P17" i="102"/>
  <c r="P33" i="102"/>
  <c r="G8" i="96"/>
  <c r="B8" i="96"/>
  <c r="A9" i="96"/>
  <c r="F8" i="96"/>
  <c r="E8" i="96"/>
  <c r="P23" i="102"/>
  <c r="M33" i="104"/>
  <c r="O33" i="104" s="1"/>
  <c r="O33" i="103"/>
  <c r="D7" i="95"/>
  <c r="C7" i="95"/>
  <c r="C7" i="96"/>
  <c r="D7" i="96"/>
  <c r="D6" i="98"/>
  <c r="C6" i="98"/>
  <c r="N23" i="104"/>
  <c r="O23" i="104" s="1"/>
  <c r="O23" i="103"/>
  <c r="P29" i="102"/>
  <c r="E6" i="100"/>
  <c r="A7" i="100"/>
  <c r="B6" i="100"/>
  <c r="F6" i="100"/>
  <c r="G6" i="100"/>
  <c r="M60" i="104" l="1"/>
  <c r="M47" i="104"/>
  <c r="M62" i="104"/>
  <c r="M51" i="104"/>
  <c r="M55" i="104"/>
  <c r="M73" i="104"/>
  <c r="M100" i="104"/>
  <c r="M56" i="104"/>
  <c r="M92" i="104"/>
  <c r="M70" i="104"/>
  <c r="M49" i="104"/>
  <c r="M66" i="104"/>
  <c r="M50" i="104"/>
  <c r="M94" i="104"/>
  <c r="M93" i="104"/>
  <c r="M77" i="104"/>
  <c r="M63" i="104"/>
  <c r="M89" i="104"/>
  <c r="M53" i="104"/>
  <c r="M72" i="104"/>
  <c r="M95" i="104"/>
  <c r="M67" i="104"/>
  <c r="M61" i="104"/>
  <c r="M52" i="104"/>
  <c r="M78" i="104"/>
  <c r="M64" i="104"/>
  <c r="M85" i="104"/>
  <c r="M101" i="104"/>
  <c r="M82" i="104"/>
  <c r="M48" i="104"/>
  <c r="M102" i="104"/>
  <c r="M58" i="104"/>
  <c r="M86" i="104"/>
  <c r="M69" i="104"/>
  <c r="M87" i="104"/>
  <c r="M68" i="104"/>
  <c r="M57" i="104"/>
  <c r="M80" i="104"/>
  <c r="M74" i="104"/>
  <c r="M96" i="104"/>
  <c r="M65" i="104"/>
  <c r="M98" i="104"/>
  <c r="M88" i="104"/>
  <c r="M99" i="104"/>
  <c r="M97" i="104"/>
  <c r="M46" i="104"/>
  <c r="M75" i="104"/>
  <c r="M71" i="104"/>
  <c r="M79" i="104"/>
  <c r="M91" i="104"/>
  <c r="M104" i="104"/>
  <c r="M59" i="104"/>
  <c r="M54" i="104"/>
  <c r="M84" i="104"/>
  <c r="M90" i="104"/>
  <c r="M83" i="104"/>
  <c r="M76" i="104"/>
  <c r="M103" i="104"/>
  <c r="M81" i="104"/>
  <c r="N63" i="104"/>
  <c r="O63" i="104" s="1"/>
  <c r="N96" i="104"/>
  <c r="O96" i="104" s="1"/>
  <c r="N61" i="104"/>
  <c r="O61" i="104" s="1"/>
  <c r="N58" i="104"/>
  <c r="O58" i="104" s="1"/>
  <c r="N53" i="104"/>
  <c r="O53" i="104" s="1"/>
  <c r="N98" i="104"/>
  <c r="O98" i="104" s="1"/>
  <c r="N91" i="104"/>
  <c r="O91" i="104" s="1"/>
  <c r="N48" i="104"/>
  <c r="O48" i="104" s="1"/>
  <c r="N78" i="104"/>
  <c r="O78" i="104" s="1"/>
  <c r="N92" i="104"/>
  <c r="O92" i="104" s="1"/>
  <c r="N101" i="104"/>
  <c r="O101" i="104" s="1"/>
  <c r="N50" i="104"/>
  <c r="O50" i="104" s="1"/>
  <c r="O46" i="103"/>
  <c r="P23" i="103" s="1"/>
  <c r="N93" i="104"/>
  <c r="O93" i="104" s="1"/>
  <c r="N83" i="104"/>
  <c r="O83" i="104" s="1"/>
  <c r="N57" i="104"/>
  <c r="O57" i="104" s="1"/>
  <c r="N74" i="104"/>
  <c r="O74" i="104" s="1"/>
  <c r="N71" i="104"/>
  <c r="O71" i="104" s="1"/>
  <c r="N97" i="104"/>
  <c r="O97" i="104" s="1"/>
  <c r="N54" i="104"/>
  <c r="O54" i="104" s="1"/>
  <c r="N79" i="104"/>
  <c r="O79" i="104" s="1"/>
  <c r="N55" i="104"/>
  <c r="O55" i="104" s="1"/>
  <c r="N99" i="104"/>
  <c r="O99" i="104" s="1"/>
  <c r="N77" i="104"/>
  <c r="O77" i="104" s="1"/>
  <c r="N73" i="104"/>
  <c r="O73" i="104" s="1"/>
  <c r="N72" i="104"/>
  <c r="O72" i="104" s="1"/>
  <c r="N51" i="104"/>
  <c r="O51" i="104" s="1"/>
  <c r="N70" i="104"/>
  <c r="O70" i="104" s="1"/>
  <c r="N102" i="104"/>
  <c r="O102" i="104" s="1"/>
  <c r="N85" i="104"/>
  <c r="O85" i="104" s="1"/>
  <c r="N52" i="104"/>
  <c r="O52" i="104" s="1"/>
  <c r="N76" i="104"/>
  <c r="O76" i="104" s="1"/>
  <c r="N59" i="104"/>
  <c r="O59" i="104" s="1"/>
  <c r="N84" i="104"/>
  <c r="O84" i="104" s="1"/>
  <c r="N87" i="104"/>
  <c r="O87" i="104" s="1"/>
  <c r="N90" i="104"/>
  <c r="O90" i="104" s="1"/>
  <c r="N66" i="104"/>
  <c r="O66" i="104" s="1"/>
  <c r="N64" i="104"/>
  <c r="O64" i="104" s="1"/>
  <c r="N67" i="104"/>
  <c r="O67" i="104" s="1"/>
  <c r="N75" i="104"/>
  <c r="O75" i="104" s="1"/>
  <c r="N49" i="104"/>
  <c r="O49" i="104" s="1"/>
  <c r="N68" i="104"/>
  <c r="O68" i="104" s="1"/>
  <c r="N94" i="104"/>
  <c r="O94" i="104" s="1"/>
  <c r="N81" i="104"/>
  <c r="O81" i="104" s="1"/>
  <c r="N47" i="104"/>
  <c r="O47" i="104" s="1"/>
  <c r="N60" i="104"/>
  <c r="O60" i="104" s="1"/>
  <c r="N62" i="104"/>
  <c r="O62" i="104" s="1"/>
  <c r="N69" i="104"/>
  <c r="O69" i="104" s="1"/>
  <c r="N80" i="104"/>
  <c r="O80" i="104" s="1"/>
  <c r="N89" i="104"/>
  <c r="O89" i="104" s="1"/>
  <c r="N56" i="104"/>
  <c r="O56" i="104" s="1"/>
  <c r="N88" i="104"/>
  <c r="O88" i="104" s="1"/>
  <c r="N95" i="104"/>
  <c r="O95" i="104" s="1"/>
  <c r="N86" i="104"/>
  <c r="O86" i="104" s="1"/>
  <c r="N82" i="104"/>
  <c r="O82" i="104" s="1"/>
  <c r="N103" i="104"/>
  <c r="O103" i="104" s="1"/>
  <c r="N46" i="104"/>
  <c r="O46" i="104" s="1"/>
  <c r="N65" i="104"/>
  <c r="O65" i="104" s="1"/>
  <c r="N100" i="104"/>
  <c r="O100" i="104" s="1"/>
  <c r="N104" i="104"/>
  <c r="O104" i="104" s="1"/>
  <c r="BN20" i="55"/>
  <c r="BN170" i="52"/>
  <c r="BN110" i="55"/>
  <c r="BN110" i="52"/>
  <c r="BN80" i="52"/>
  <c r="J11" i="60" s="1"/>
  <c r="BN170" i="57"/>
  <c r="BN140" i="58"/>
  <c r="BN50" i="52"/>
  <c r="BN110" i="53"/>
  <c r="H8" i="60"/>
  <c r="B8" i="60"/>
  <c r="AE8" i="60" s="1"/>
  <c r="C8" i="60"/>
  <c r="J8" i="60"/>
  <c r="E12" i="60"/>
  <c r="E8" i="60"/>
  <c r="I8" i="60"/>
  <c r="J12" i="60"/>
  <c r="K8" i="60"/>
  <c r="G10" i="60"/>
  <c r="G8" i="60"/>
  <c r="E11" i="60"/>
  <c r="D8" i="60"/>
  <c r="L8" i="60"/>
  <c r="F8" i="60"/>
  <c r="BN140" i="52"/>
  <c r="BN80" i="53"/>
  <c r="BN140" i="57"/>
  <c r="BN50" i="53"/>
  <c r="BN50" i="57"/>
  <c r="BN140" i="53"/>
  <c r="BN20" i="59"/>
  <c r="H7" i="69" s="1"/>
  <c r="BN50" i="55"/>
  <c r="L12" i="63" s="1"/>
  <c r="BN140" i="55"/>
  <c r="BN170" i="59"/>
  <c r="BN50" i="59"/>
  <c r="BN20" i="53"/>
  <c r="BN140" i="59"/>
  <c r="BN170" i="53"/>
  <c r="BN80" i="59"/>
  <c r="BN170" i="58"/>
  <c r="BN110" i="58"/>
  <c r="BN170" i="55"/>
  <c r="BN80" i="58"/>
  <c r="BN20" i="58"/>
  <c r="BN110" i="59"/>
  <c r="BN80" i="57"/>
  <c r="BN20" i="57"/>
  <c r="BN110" i="57"/>
  <c r="BN50" i="58"/>
  <c r="G8" i="88"/>
  <c r="A9" i="88"/>
  <c r="F8" i="88"/>
  <c r="B8" i="88"/>
  <c r="E8" i="88"/>
  <c r="B9" i="96"/>
  <c r="E9" i="96"/>
  <c r="F9" i="96"/>
  <c r="A10" i="96"/>
  <c r="G9" i="96"/>
  <c r="G8" i="99"/>
  <c r="A9" i="99"/>
  <c r="B8" i="99"/>
  <c r="F8" i="99"/>
  <c r="E8" i="99"/>
  <c r="C8" i="96"/>
  <c r="D8" i="96"/>
  <c r="C7" i="99"/>
  <c r="D7" i="99"/>
  <c r="G6" i="101"/>
  <c r="A7" i="101"/>
  <c r="B6" i="101"/>
  <c r="E6" i="101"/>
  <c r="F6" i="101"/>
  <c r="B5" i="102"/>
  <c r="F5" i="102"/>
  <c r="G5" i="102"/>
  <c r="E5" i="102"/>
  <c r="A6" i="102"/>
  <c r="C7" i="98"/>
  <c r="D7" i="98"/>
  <c r="D5" i="101"/>
  <c r="C5" i="101"/>
  <c r="D8" i="95"/>
  <c r="C8" i="95"/>
  <c r="G7" i="100"/>
  <c r="E7" i="100"/>
  <c r="B7" i="100"/>
  <c r="A8" i="100"/>
  <c r="F7" i="100"/>
  <c r="C8" i="97"/>
  <c r="D8" i="97"/>
  <c r="G8" i="98"/>
  <c r="F8" i="98"/>
  <c r="E8" i="98"/>
  <c r="B8" i="98"/>
  <c r="A9" i="98"/>
  <c r="D10" i="63"/>
  <c r="F10" i="63"/>
  <c r="E10" i="63"/>
  <c r="H10" i="63"/>
  <c r="B10" i="63"/>
  <c r="J10" i="63"/>
  <c r="I10" i="63"/>
  <c r="C10" i="63"/>
  <c r="L10" i="63"/>
  <c r="K10" i="63"/>
  <c r="G10" i="63"/>
  <c r="C7" i="88"/>
  <c r="D7" i="88"/>
  <c r="C6" i="100"/>
  <c r="D6" i="100"/>
  <c r="G9" i="97"/>
  <c r="A10" i="97"/>
  <c r="F9" i="97"/>
  <c r="E9" i="97"/>
  <c r="B9" i="97"/>
  <c r="E9" i="95"/>
  <c r="F9" i="95"/>
  <c r="G9" i="95"/>
  <c r="B9" i="95"/>
  <c r="A10" i="95"/>
  <c r="P87" i="104" l="1"/>
  <c r="P56" i="104"/>
  <c r="P15" i="103"/>
  <c r="P16" i="104"/>
  <c r="P56" i="103"/>
  <c r="P58" i="103"/>
  <c r="P5" i="103"/>
  <c r="P2" i="103"/>
  <c r="P41" i="104"/>
  <c r="P48" i="103"/>
  <c r="P8" i="103"/>
  <c r="P59" i="104"/>
  <c r="P100" i="104"/>
  <c r="P51" i="104"/>
  <c r="P101" i="104"/>
  <c r="P39" i="103"/>
  <c r="P55" i="103"/>
  <c r="P27" i="103"/>
  <c r="P20" i="103"/>
  <c r="P28" i="104"/>
  <c r="P83" i="103"/>
  <c r="P37" i="103"/>
  <c r="P53" i="103"/>
  <c r="P35" i="103"/>
  <c r="P78" i="103"/>
  <c r="P49" i="103"/>
  <c r="P44" i="103"/>
  <c r="P52" i="103"/>
  <c r="P10" i="103"/>
  <c r="P103" i="103"/>
  <c r="P67" i="103"/>
  <c r="P54" i="103"/>
  <c r="P9" i="103"/>
  <c r="P23" i="104"/>
  <c r="P88" i="104"/>
  <c r="P2" i="104"/>
  <c r="P42" i="104"/>
  <c r="P62" i="104"/>
  <c r="P96" i="104"/>
  <c r="P98" i="104"/>
  <c r="P17" i="103"/>
  <c r="P29" i="103"/>
  <c r="P104" i="104"/>
  <c r="P85" i="104"/>
  <c r="P50" i="104"/>
  <c r="P98" i="103"/>
  <c r="P7" i="103"/>
  <c r="P13" i="103"/>
  <c r="P93" i="103"/>
  <c r="P48" i="104"/>
  <c r="P24" i="103"/>
  <c r="P82" i="103"/>
  <c r="P42" i="103"/>
  <c r="P36" i="103"/>
  <c r="P68" i="103"/>
  <c r="P40" i="103"/>
  <c r="P75" i="103"/>
  <c r="P25" i="103"/>
  <c r="P102" i="103"/>
  <c r="P85" i="103"/>
  <c r="P60" i="103"/>
  <c r="P87" i="103"/>
  <c r="P32" i="104"/>
  <c r="P12" i="104"/>
  <c r="P73" i="104"/>
  <c r="P57" i="104"/>
  <c r="P77" i="104"/>
  <c r="P92" i="103"/>
  <c r="P18" i="103"/>
  <c r="P64" i="103"/>
  <c r="P22" i="103"/>
  <c r="P80" i="104"/>
  <c r="P86" i="103"/>
  <c r="P16" i="103"/>
  <c r="P59" i="103"/>
  <c r="P28" i="103"/>
  <c r="P34" i="103"/>
  <c r="P89" i="103"/>
  <c r="P96" i="103"/>
  <c r="P100" i="103"/>
  <c r="P62" i="103"/>
  <c r="P12" i="103"/>
  <c r="P72" i="103"/>
  <c r="P19" i="103"/>
  <c r="P65" i="103"/>
  <c r="P47" i="104"/>
  <c r="P27" i="104"/>
  <c r="P22" i="104"/>
  <c r="P64" i="104"/>
  <c r="P38" i="104"/>
  <c r="P33" i="103"/>
  <c r="P81" i="103"/>
  <c r="P26" i="103"/>
  <c r="P57" i="103"/>
  <c r="P9" i="104"/>
  <c r="P25" i="104"/>
  <c r="P70" i="103"/>
  <c r="P4" i="103"/>
  <c r="P46" i="103"/>
  <c r="P32" i="103"/>
  <c r="P71" i="103"/>
  <c r="P77" i="103"/>
  <c r="P79" i="103"/>
  <c r="P41" i="103"/>
  <c r="P91" i="103"/>
  <c r="P51" i="103"/>
  <c r="P47" i="103"/>
  <c r="P69" i="103"/>
  <c r="P83" i="104"/>
  <c r="P90" i="104"/>
  <c r="P34" i="104"/>
  <c r="P14" i="104"/>
  <c r="P39" i="104"/>
  <c r="P68" i="104"/>
  <c r="P58" i="104"/>
  <c r="P19" i="104"/>
  <c r="P5" i="104"/>
  <c r="P54" i="104"/>
  <c r="P91" i="104"/>
  <c r="P21" i="104"/>
  <c r="P74" i="103"/>
  <c r="P95" i="103"/>
  <c r="P80" i="103"/>
  <c r="P30" i="103"/>
  <c r="P94" i="103"/>
  <c r="P76" i="103"/>
  <c r="P104" i="103"/>
  <c r="P3" i="103"/>
  <c r="P84" i="103"/>
  <c r="P101" i="103"/>
  <c r="P6" i="103"/>
  <c r="P61" i="103"/>
  <c r="P35" i="104"/>
  <c r="P7" i="104"/>
  <c r="P99" i="104"/>
  <c r="P82" i="104"/>
  <c r="P75" i="104"/>
  <c r="P17" i="104"/>
  <c r="P97" i="103"/>
  <c r="P14" i="103"/>
  <c r="P44" i="104"/>
  <c r="P21" i="103"/>
  <c r="P88" i="103"/>
  <c r="P73" i="103"/>
  <c r="P11" i="103"/>
  <c r="P43" i="103"/>
  <c r="P31" i="103"/>
  <c r="P45" i="103"/>
  <c r="P38" i="103"/>
  <c r="P90" i="103"/>
  <c r="P63" i="103"/>
  <c r="P50" i="103"/>
  <c r="P99" i="103"/>
  <c r="P66" i="103"/>
  <c r="P18" i="104"/>
  <c r="P36" i="104"/>
  <c r="P84" i="104"/>
  <c r="P81" i="104"/>
  <c r="P46" i="104"/>
  <c r="P92" i="104"/>
  <c r="P102" i="104"/>
  <c r="P66" i="104"/>
  <c r="P86" i="104"/>
  <c r="P65" i="104"/>
  <c r="P69" i="104"/>
  <c r="P40" i="104"/>
  <c r="P4" i="104"/>
  <c r="P31" i="104"/>
  <c r="P49" i="104"/>
  <c r="P103" i="104"/>
  <c r="P6" i="104"/>
  <c r="P13" i="104"/>
  <c r="P74" i="104"/>
  <c r="P30" i="104"/>
  <c r="P45" i="104"/>
  <c r="P89" i="104"/>
  <c r="P52" i="104"/>
  <c r="P55" i="104"/>
  <c r="P8" i="104"/>
  <c r="P29" i="104"/>
  <c r="P24" i="104"/>
  <c r="P93" i="104"/>
  <c r="P53" i="104"/>
  <c r="P94" i="104"/>
  <c r="P3" i="104"/>
  <c r="P60" i="104"/>
  <c r="P37" i="104"/>
  <c r="P79" i="104"/>
  <c r="P72" i="104"/>
  <c r="P67" i="104"/>
  <c r="P10" i="104"/>
  <c r="P63" i="104"/>
  <c r="P20" i="104"/>
  <c r="P76" i="104"/>
  <c r="P26" i="104"/>
  <c r="P97" i="104"/>
  <c r="P33" i="104"/>
  <c r="P70" i="104"/>
  <c r="P78" i="104"/>
  <c r="P95" i="104"/>
  <c r="P71" i="104"/>
  <c r="P61" i="104"/>
  <c r="P15" i="104"/>
  <c r="P43" i="104"/>
  <c r="P11" i="104"/>
  <c r="I12" i="60"/>
  <c r="C10" i="60"/>
  <c r="G12" i="60"/>
  <c r="D10" i="60"/>
  <c r="D12" i="60"/>
  <c r="I9" i="60"/>
  <c r="C12" i="60"/>
  <c r="H11" i="60"/>
  <c r="K12" i="60"/>
  <c r="F10" i="60"/>
  <c r="H11" i="63"/>
  <c r="H10" i="60"/>
  <c r="K10" i="60"/>
  <c r="F12" i="60"/>
  <c r="I10" i="60"/>
  <c r="B10" i="60"/>
  <c r="AE10" i="60" s="1"/>
  <c r="H12" i="60"/>
  <c r="K8" i="63"/>
  <c r="J8" i="63"/>
  <c r="B11" i="63"/>
  <c r="C12" i="63"/>
  <c r="C11" i="63"/>
  <c r="F9" i="63"/>
  <c r="F11" i="63"/>
  <c r="J9" i="63"/>
  <c r="H9" i="63"/>
  <c r="K9" i="63"/>
  <c r="C11" i="60"/>
  <c r="L11" i="60"/>
  <c r="H9" i="60"/>
  <c r="E7" i="69"/>
  <c r="I11" i="60"/>
  <c r="L10" i="60"/>
  <c r="J10" i="60"/>
  <c r="B11" i="60"/>
  <c r="AE11" i="60" s="1"/>
  <c r="L12" i="60"/>
  <c r="G11" i="60"/>
  <c r="K11" i="60"/>
  <c r="B12" i="60"/>
  <c r="AE12" i="60" s="1"/>
  <c r="D7" i="60"/>
  <c r="D11" i="60"/>
  <c r="E10" i="60"/>
  <c r="F11" i="60"/>
  <c r="I12" i="63"/>
  <c r="J9" i="60"/>
  <c r="F7" i="60"/>
  <c r="H7" i="60"/>
  <c r="D9" i="63"/>
  <c r="C8" i="63"/>
  <c r="B8" i="63"/>
  <c r="I8" i="63"/>
  <c r="J11" i="63"/>
  <c r="F12" i="63"/>
  <c r="D11" i="63"/>
  <c r="C7" i="60"/>
  <c r="C9" i="60"/>
  <c r="D9" i="60"/>
  <c r="B7" i="60"/>
  <c r="AE7" i="60" s="1"/>
  <c r="G9" i="60"/>
  <c r="L7" i="60"/>
  <c r="F8" i="63"/>
  <c r="J12" i="63"/>
  <c r="H12" i="63"/>
  <c r="G12" i="63"/>
  <c r="H7" i="63"/>
  <c r="B9" i="60"/>
  <c r="AE9" i="60" s="1"/>
  <c r="G7" i="60"/>
  <c r="L9" i="63"/>
  <c r="G8" i="63"/>
  <c r="I7" i="63"/>
  <c r="I9" i="63"/>
  <c r="E12" i="63"/>
  <c r="E9" i="63"/>
  <c r="E11" i="63"/>
  <c r="K12" i="63"/>
  <c r="B7" i="63"/>
  <c r="D7" i="63"/>
  <c r="F7" i="63"/>
  <c r="K7" i="63"/>
  <c r="F9" i="60"/>
  <c r="L9" i="60"/>
  <c r="B12" i="63"/>
  <c r="I11" i="63"/>
  <c r="C7" i="63"/>
  <c r="E8" i="63"/>
  <c r="L8" i="63"/>
  <c r="G11" i="63"/>
  <c r="K11" i="63"/>
  <c r="J7" i="63"/>
  <c r="E7" i="63"/>
  <c r="L7" i="63"/>
  <c r="H8" i="63"/>
  <c r="G7" i="63"/>
  <c r="J7" i="60"/>
  <c r="M12" i="60"/>
  <c r="O12" i="60" s="1"/>
  <c r="I7" i="60"/>
  <c r="B9" i="63"/>
  <c r="D8" i="63"/>
  <c r="E9" i="60"/>
  <c r="K7" i="60"/>
  <c r="K9" i="60"/>
  <c r="C9" i="63"/>
  <c r="G9" i="63"/>
  <c r="D12" i="63"/>
  <c r="L11" i="63"/>
  <c r="N8" i="60"/>
  <c r="E7" i="60"/>
  <c r="M8" i="60"/>
  <c r="O8" i="60" s="1"/>
  <c r="C8" i="69"/>
  <c r="L7" i="69"/>
  <c r="G7" i="69"/>
  <c r="K7" i="69"/>
  <c r="B7" i="69"/>
  <c r="D7" i="69"/>
  <c r="C7" i="69"/>
  <c r="I7" i="69"/>
  <c r="F7" i="69"/>
  <c r="J7" i="69"/>
  <c r="J12" i="69"/>
  <c r="L11" i="69"/>
  <c r="D11" i="69"/>
  <c r="K11" i="69"/>
  <c r="L8" i="68"/>
  <c r="H8" i="69"/>
  <c r="C11" i="69"/>
  <c r="I11" i="69"/>
  <c r="K8" i="69"/>
  <c r="G10" i="69"/>
  <c r="I10" i="69"/>
  <c r="J11" i="69"/>
  <c r="I8" i="66"/>
  <c r="E11" i="66"/>
  <c r="I9" i="66"/>
  <c r="B8" i="66"/>
  <c r="E8" i="66"/>
  <c r="L11" i="66"/>
  <c r="H10" i="66"/>
  <c r="D11" i="66"/>
  <c r="E7" i="66"/>
  <c r="L10" i="66"/>
  <c r="K12" i="66"/>
  <c r="L9" i="66"/>
  <c r="L7" i="66"/>
  <c r="F12" i="66"/>
  <c r="I11" i="66"/>
  <c r="L12" i="66"/>
  <c r="J7" i="66"/>
  <c r="L8" i="66"/>
  <c r="B12" i="66"/>
  <c r="E9" i="66"/>
  <c r="D10" i="66"/>
  <c r="F9" i="66"/>
  <c r="B9" i="66"/>
  <c r="I12" i="66"/>
  <c r="H8" i="66"/>
  <c r="G7" i="66"/>
  <c r="C9" i="66"/>
  <c r="B11" i="66"/>
  <c r="K11" i="66"/>
  <c r="J8" i="66"/>
  <c r="H7" i="66"/>
  <c r="C7" i="66"/>
  <c r="B10" i="66"/>
  <c r="C11" i="66"/>
  <c r="D7" i="66"/>
  <c r="G12" i="66"/>
  <c r="K10" i="66"/>
  <c r="K7" i="66"/>
  <c r="C8" i="66"/>
  <c r="G8" i="66"/>
  <c r="C12" i="66"/>
  <c r="H11" i="66"/>
  <c r="I10" i="66"/>
  <c r="B7" i="66"/>
  <c r="F7" i="66"/>
  <c r="G10" i="66"/>
  <c r="D12" i="66"/>
  <c r="E12" i="66"/>
  <c r="H12" i="66"/>
  <c r="D9" i="66"/>
  <c r="F8" i="66"/>
  <c r="J10" i="66"/>
  <c r="K9" i="66"/>
  <c r="G11" i="66"/>
  <c r="G9" i="66"/>
  <c r="J11" i="66"/>
  <c r="I7" i="66"/>
  <c r="F11" i="66"/>
  <c r="C10" i="66"/>
  <c r="D8" i="66"/>
  <c r="J9" i="66"/>
  <c r="J12" i="66"/>
  <c r="F10" i="66"/>
  <c r="E10" i="66"/>
  <c r="H9" i="66"/>
  <c r="K8" i="66"/>
  <c r="L12" i="69"/>
  <c r="M10" i="63"/>
  <c r="O10" i="63" s="1"/>
  <c r="E9" i="69"/>
  <c r="G12" i="69"/>
  <c r="E12" i="69"/>
  <c r="E10" i="69"/>
  <c r="J8" i="69"/>
  <c r="G11" i="69"/>
  <c r="H10" i="69"/>
  <c r="F8" i="69"/>
  <c r="G9" i="69"/>
  <c r="C9" i="68"/>
  <c r="G8" i="69"/>
  <c r="E8" i="69"/>
  <c r="L10" i="69"/>
  <c r="K10" i="69"/>
  <c r="F10" i="69"/>
  <c r="L8" i="69"/>
  <c r="H9" i="69"/>
  <c r="K9" i="69"/>
  <c r="D7" i="68"/>
  <c r="F8" i="68"/>
  <c r="I7" i="68"/>
  <c r="I11" i="68"/>
  <c r="J7" i="68"/>
  <c r="F7" i="68"/>
  <c r="L7" i="68"/>
  <c r="B7" i="68"/>
  <c r="H7" i="68"/>
  <c r="K7" i="68"/>
  <c r="F9" i="68"/>
  <c r="D12" i="68"/>
  <c r="C7" i="68"/>
  <c r="G7" i="68"/>
  <c r="J11" i="68"/>
  <c r="E7" i="68"/>
  <c r="D10" i="68"/>
  <c r="I12" i="68"/>
  <c r="J10" i="68"/>
  <c r="D8" i="68"/>
  <c r="K12" i="68"/>
  <c r="B12" i="68"/>
  <c r="E11" i="68"/>
  <c r="E8" i="68"/>
  <c r="F10" i="68"/>
  <c r="B10" i="68"/>
  <c r="D11" i="68"/>
  <c r="F11" i="68"/>
  <c r="B9" i="68"/>
  <c r="J9" i="68"/>
  <c r="C11" i="68"/>
  <c r="K8" i="68"/>
  <c r="B11" i="68"/>
  <c r="C12" i="68"/>
  <c r="B8" i="68"/>
  <c r="AE8" i="68" s="1"/>
  <c r="G11" i="68"/>
  <c r="I9" i="68"/>
  <c r="H8" i="68"/>
  <c r="D9" i="68"/>
  <c r="L10" i="68"/>
  <c r="I10" i="68"/>
  <c r="J8" i="68"/>
  <c r="C8" i="68"/>
  <c r="I8" i="68"/>
  <c r="L11" i="68"/>
  <c r="G12" i="68"/>
  <c r="G8" i="68"/>
  <c r="E9" i="68"/>
  <c r="F12" i="68"/>
  <c r="K10" i="68"/>
  <c r="E10" i="68"/>
  <c r="J12" i="68"/>
  <c r="H10" i="68"/>
  <c r="K11" i="68"/>
  <c r="H12" i="68"/>
  <c r="H9" i="68"/>
  <c r="G10" i="68"/>
  <c r="C10" i="68"/>
  <c r="H11" i="68"/>
  <c r="G9" i="68"/>
  <c r="L12" i="68"/>
  <c r="L9" i="68"/>
  <c r="K9" i="68"/>
  <c r="E12" i="68"/>
  <c r="C10" i="69"/>
  <c r="D8" i="69"/>
  <c r="E11" i="69"/>
  <c r="B10" i="69"/>
  <c r="B9" i="69"/>
  <c r="H12" i="69"/>
  <c r="D9" i="69"/>
  <c r="C12" i="69"/>
  <c r="I8" i="69"/>
  <c r="B8" i="69"/>
  <c r="I12" i="69"/>
  <c r="J10" i="69"/>
  <c r="K12" i="70"/>
  <c r="G10" i="70"/>
  <c r="G7" i="70"/>
  <c r="J8" i="70"/>
  <c r="I8" i="70"/>
  <c r="B8" i="70"/>
  <c r="I7" i="70"/>
  <c r="L7" i="70"/>
  <c r="H9" i="70"/>
  <c r="D9" i="70"/>
  <c r="L12" i="70"/>
  <c r="F12" i="70"/>
  <c r="K11" i="70"/>
  <c r="C11" i="70"/>
  <c r="C12" i="70"/>
  <c r="J11" i="70"/>
  <c r="L11" i="70"/>
  <c r="L9" i="70"/>
  <c r="G11" i="70"/>
  <c r="D12" i="70"/>
  <c r="C7" i="70"/>
  <c r="K8" i="70"/>
  <c r="H8" i="70"/>
  <c r="L10" i="70"/>
  <c r="J9" i="70"/>
  <c r="J12" i="70"/>
  <c r="D10" i="70"/>
  <c r="B7" i="70"/>
  <c r="E11" i="70"/>
  <c r="E10" i="70"/>
  <c r="F10" i="70"/>
  <c r="H10" i="70"/>
  <c r="D11" i="70"/>
  <c r="J7" i="70"/>
  <c r="K7" i="70"/>
  <c r="K9" i="70"/>
  <c r="E8" i="70"/>
  <c r="H12" i="70"/>
  <c r="I10" i="70"/>
  <c r="C10" i="70"/>
  <c r="C9" i="70"/>
  <c r="J10" i="70"/>
  <c r="B12" i="70"/>
  <c r="G9" i="70"/>
  <c r="F11" i="70"/>
  <c r="E9" i="70"/>
  <c r="D7" i="70"/>
  <c r="C8" i="70"/>
  <c r="E12" i="70"/>
  <c r="B10" i="70"/>
  <c r="D8" i="70"/>
  <c r="F7" i="70"/>
  <c r="L8" i="70"/>
  <c r="G8" i="70"/>
  <c r="F8" i="70"/>
  <c r="F9" i="70"/>
  <c r="I11" i="70"/>
  <c r="I9" i="70"/>
  <c r="I12" i="70"/>
  <c r="H11" i="70"/>
  <c r="K10" i="70"/>
  <c r="H7" i="70"/>
  <c r="B11" i="70"/>
  <c r="G12" i="70"/>
  <c r="B9" i="70"/>
  <c r="E7" i="70"/>
  <c r="F9" i="69"/>
  <c r="H11" i="69"/>
  <c r="F12" i="69"/>
  <c r="D10" i="69"/>
  <c r="D12" i="69"/>
  <c r="L9" i="69"/>
  <c r="I9" i="69"/>
  <c r="F11" i="69"/>
  <c r="K12" i="69"/>
  <c r="C9" i="69"/>
  <c r="B12" i="69"/>
  <c r="B11" i="69"/>
  <c r="J9" i="69"/>
  <c r="D5" i="102"/>
  <c r="C5" i="102"/>
  <c r="F10" i="96"/>
  <c r="G10" i="96"/>
  <c r="B10" i="96"/>
  <c r="E10" i="96"/>
  <c r="A11" i="96"/>
  <c r="B9" i="88"/>
  <c r="E9" i="88"/>
  <c r="G9" i="88"/>
  <c r="A10" i="88"/>
  <c r="F9" i="88"/>
  <c r="C9" i="97"/>
  <c r="D9" i="97"/>
  <c r="D8" i="99"/>
  <c r="C8" i="99"/>
  <c r="D6" i="101"/>
  <c r="C6" i="101"/>
  <c r="G9" i="99"/>
  <c r="F9" i="99"/>
  <c r="B9" i="99"/>
  <c r="A10" i="99"/>
  <c r="E9" i="99"/>
  <c r="D9" i="96"/>
  <c r="C9" i="96"/>
  <c r="F10" i="97"/>
  <c r="B10" i="97"/>
  <c r="G10" i="97"/>
  <c r="A11" i="97"/>
  <c r="E10" i="97"/>
  <c r="N10" i="63"/>
  <c r="F9" i="98"/>
  <c r="A10" i="98"/>
  <c r="G9" i="98"/>
  <c r="E9" i="98"/>
  <c r="B9" i="98"/>
  <c r="B8" i="100"/>
  <c r="A9" i="100"/>
  <c r="F8" i="100"/>
  <c r="G8" i="100"/>
  <c r="E8" i="100"/>
  <c r="B6" i="102"/>
  <c r="F6" i="102"/>
  <c r="G6" i="102"/>
  <c r="A7" i="102"/>
  <c r="E6" i="102"/>
  <c r="B7" i="101"/>
  <c r="E7" i="101"/>
  <c r="A8" i="101"/>
  <c r="G7" i="101"/>
  <c r="F7" i="101"/>
  <c r="E10" i="95"/>
  <c r="F10" i="95"/>
  <c r="B10" i="95"/>
  <c r="A11" i="95"/>
  <c r="G10" i="95"/>
  <c r="D8" i="98"/>
  <c r="C8" i="98"/>
  <c r="D7" i="100"/>
  <c r="C7" i="100"/>
  <c r="D8" i="88"/>
  <c r="C8" i="88"/>
  <c r="D9" i="95"/>
  <c r="C9" i="95"/>
  <c r="A6" i="103" l="1"/>
  <c r="A7" i="103" s="1"/>
  <c r="B5" i="104"/>
  <c r="C5" i="104" s="1"/>
  <c r="F5" i="104"/>
  <c r="A6" i="104"/>
  <c r="F6" i="104" s="1"/>
  <c r="B5" i="103"/>
  <c r="D5" i="103" s="1"/>
  <c r="E5" i="104"/>
  <c r="G5" i="104"/>
  <c r="E5" i="103"/>
  <c r="F5" i="103"/>
  <c r="G5" i="103"/>
  <c r="M10" i="60"/>
  <c r="O10" i="60" s="1"/>
  <c r="N7" i="63"/>
  <c r="N12" i="60"/>
  <c r="AB8" i="66" s="1"/>
  <c r="M9" i="63"/>
  <c r="O9" i="63" s="1"/>
  <c r="M11" i="63"/>
  <c r="O11" i="63" s="1"/>
  <c r="N11" i="60"/>
  <c r="N9" i="63"/>
  <c r="N8" i="63"/>
  <c r="M11" i="60"/>
  <c r="O11" i="60" s="1"/>
  <c r="N10" i="60"/>
  <c r="M7" i="63"/>
  <c r="O7" i="63" s="1"/>
  <c r="N12" i="63"/>
  <c r="N11" i="63"/>
  <c r="N7" i="60"/>
  <c r="N7" i="70"/>
  <c r="M12" i="70"/>
  <c r="O12" i="70" s="1"/>
  <c r="M8" i="68"/>
  <c r="O8" i="68" s="1"/>
  <c r="N7" i="69"/>
  <c r="M12" i="63"/>
  <c r="O12" i="63" s="1"/>
  <c r="M8" i="63"/>
  <c r="O8" i="63" s="1"/>
  <c r="N9" i="60"/>
  <c r="M10" i="69"/>
  <c r="O10" i="69" s="1"/>
  <c r="M9" i="60"/>
  <c r="O9" i="60" s="1"/>
  <c r="M7" i="60"/>
  <c r="O7" i="60" s="1"/>
  <c r="N12" i="66"/>
  <c r="AB12" i="66" s="1"/>
  <c r="M7" i="69"/>
  <c r="O7" i="69" s="1"/>
  <c r="M8" i="66"/>
  <c r="O8" i="66" s="1"/>
  <c r="N8" i="66"/>
  <c r="N12" i="69"/>
  <c r="M11" i="70"/>
  <c r="O11" i="70" s="1"/>
  <c r="N8" i="69"/>
  <c r="AB8" i="69" s="1"/>
  <c r="M8" i="69"/>
  <c r="O8" i="69" s="1"/>
  <c r="M10" i="66"/>
  <c r="O10" i="66" s="1"/>
  <c r="N7" i="66"/>
  <c r="AB7" i="66" s="1"/>
  <c r="AE8" i="69"/>
  <c r="M9" i="66"/>
  <c r="O9" i="66" s="1"/>
  <c r="AE12" i="66"/>
  <c r="AE12" i="63" s="1"/>
  <c r="AE12" i="70" s="1"/>
  <c r="M11" i="69"/>
  <c r="O11" i="69" s="1"/>
  <c r="AE8" i="66"/>
  <c r="AE8" i="63" s="1"/>
  <c r="AE7" i="70" s="1"/>
  <c r="N10" i="69"/>
  <c r="AB10" i="69" s="1"/>
  <c r="M12" i="68"/>
  <c r="O12" i="68" s="1"/>
  <c r="AE12" i="69"/>
  <c r="AB12" i="69"/>
  <c r="M7" i="70"/>
  <c r="O7" i="70" s="1"/>
  <c r="N12" i="68"/>
  <c r="AB12" i="68" s="1"/>
  <c r="AE11" i="68"/>
  <c r="N10" i="68"/>
  <c r="AB10" i="68" s="1"/>
  <c r="N7" i="68"/>
  <c r="N9" i="66"/>
  <c r="M11" i="66"/>
  <c r="O11" i="66" s="1"/>
  <c r="AE11" i="69"/>
  <c r="M10" i="68"/>
  <c r="O10" i="68" s="1"/>
  <c r="AE10" i="68"/>
  <c r="M9" i="69"/>
  <c r="O9" i="69" s="1"/>
  <c r="N12" i="70"/>
  <c r="M12" i="69"/>
  <c r="O12" i="69" s="1"/>
  <c r="M9" i="68"/>
  <c r="O9" i="68" s="1"/>
  <c r="M12" i="66"/>
  <c r="O12" i="66" s="1"/>
  <c r="AE10" i="66"/>
  <c r="AE7" i="63" s="1"/>
  <c r="AE11" i="70" s="1"/>
  <c r="AE7" i="66"/>
  <c r="AE10" i="63" s="1"/>
  <c r="AE9" i="70" s="1"/>
  <c r="AE7" i="68" s="1"/>
  <c r="N8" i="70"/>
  <c r="N10" i="70"/>
  <c r="N9" i="69"/>
  <c r="AB9" i="69" s="1"/>
  <c r="N9" i="68"/>
  <c r="AB9" i="68" s="1"/>
  <c r="M11" i="68"/>
  <c r="O11" i="68" s="1"/>
  <c r="M7" i="66"/>
  <c r="O7" i="66" s="1"/>
  <c r="N11" i="66"/>
  <c r="AB11" i="66" s="1"/>
  <c r="AB9" i="66"/>
  <c r="AA9" i="66"/>
  <c r="AE9" i="66"/>
  <c r="AE11" i="63" s="1"/>
  <c r="AE10" i="70" s="1"/>
  <c r="N11" i="69"/>
  <c r="AB11" i="69" s="1"/>
  <c r="N9" i="70"/>
  <c r="AE12" i="68"/>
  <c r="M9" i="70"/>
  <c r="O9" i="70" s="1"/>
  <c r="N11" i="70"/>
  <c r="AE9" i="69"/>
  <c r="AE9" i="68"/>
  <c r="M7" i="68"/>
  <c r="O7" i="68" s="1"/>
  <c r="N11" i="68"/>
  <c r="AB11" i="68" s="1"/>
  <c r="AE11" i="66"/>
  <c r="AE9" i="63" s="1"/>
  <c r="AE8" i="70" s="1"/>
  <c r="M8" i="70"/>
  <c r="O8" i="70" s="1"/>
  <c r="M10" i="70"/>
  <c r="O10" i="70" s="1"/>
  <c r="AE10" i="69"/>
  <c r="AA10" i="69"/>
  <c r="N8" i="68"/>
  <c r="AB8" i="68" s="1"/>
  <c r="N10" i="66"/>
  <c r="AB10" i="66" s="1"/>
  <c r="F11" i="96"/>
  <c r="E11" i="96"/>
  <c r="G11" i="96"/>
  <c r="B11" i="96"/>
  <c r="A12" i="96"/>
  <c r="A12" i="97"/>
  <c r="G11" i="97"/>
  <c r="E11" i="97"/>
  <c r="B11" i="97"/>
  <c r="F11" i="97"/>
  <c r="D9" i="99"/>
  <c r="C9" i="99"/>
  <c r="C6" i="102"/>
  <c r="D6" i="102"/>
  <c r="D10" i="96"/>
  <c r="C10" i="96"/>
  <c r="C8" i="100"/>
  <c r="D8" i="100"/>
  <c r="B10" i="99"/>
  <c r="E10" i="99"/>
  <c r="F10" i="99"/>
  <c r="G10" i="99"/>
  <c r="A11" i="99"/>
  <c r="D5" i="104"/>
  <c r="E7" i="102"/>
  <c r="A8" i="102"/>
  <c r="F7" i="102"/>
  <c r="G7" i="102"/>
  <c r="B7" i="102"/>
  <c r="C9" i="98"/>
  <c r="D9" i="98"/>
  <c r="E10" i="98"/>
  <c r="B10" i="98"/>
  <c r="G10" i="98"/>
  <c r="F10" i="98"/>
  <c r="A11" i="98"/>
  <c r="A11" i="88"/>
  <c r="G10" i="88"/>
  <c r="F10" i="88"/>
  <c r="E10" i="88"/>
  <c r="B10" i="88"/>
  <c r="E8" i="101"/>
  <c r="F8" i="101"/>
  <c r="B8" i="101"/>
  <c r="A9" i="101"/>
  <c r="G8" i="101"/>
  <c r="C10" i="97"/>
  <c r="D10" i="97"/>
  <c r="F11" i="95"/>
  <c r="E11" i="95"/>
  <c r="G11" i="95"/>
  <c r="B11" i="95"/>
  <c r="A12" i="95"/>
  <c r="D7" i="101"/>
  <c r="C7" i="101"/>
  <c r="D9" i="88"/>
  <c r="C9" i="88"/>
  <c r="D10" i="95"/>
  <c r="C10" i="95"/>
  <c r="F9" i="100"/>
  <c r="E9" i="100"/>
  <c r="B9" i="100"/>
  <c r="G9" i="100"/>
  <c r="A10" i="100"/>
  <c r="B6" i="103" l="1"/>
  <c r="C6" i="103" s="1"/>
  <c r="E6" i="103"/>
  <c r="G6" i="103"/>
  <c r="A7" i="104"/>
  <c r="F7" i="104" s="1"/>
  <c r="AE7" i="69"/>
  <c r="B6" i="104"/>
  <c r="D6" i="104" s="1"/>
  <c r="G6" i="104"/>
  <c r="E6" i="104"/>
  <c r="C5" i="103"/>
  <c r="F6" i="103"/>
  <c r="AA12" i="68"/>
  <c r="AC12" i="68" s="1"/>
  <c r="AA11" i="69"/>
  <c r="AC11" i="69" s="1"/>
  <c r="AD11" i="69" s="1"/>
  <c r="AA11" i="66"/>
  <c r="AC11" i="66" s="1"/>
  <c r="AA8" i="68"/>
  <c r="AC8" i="68" s="1"/>
  <c r="AA8" i="69"/>
  <c r="AC8" i="69" s="1"/>
  <c r="AD8" i="69" s="1"/>
  <c r="AA9" i="68"/>
  <c r="AC9" i="68" s="1"/>
  <c r="AA9" i="69"/>
  <c r="AC9" i="69" s="1"/>
  <c r="AD9" i="69" s="1"/>
  <c r="AC10" i="69"/>
  <c r="AD10" i="69" s="1"/>
  <c r="AA8" i="66"/>
  <c r="AC8" i="66" s="1"/>
  <c r="AA10" i="66"/>
  <c r="AC10" i="66" s="1"/>
  <c r="AC9" i="66"/>
  <c r="AA11" i="68"/>
  <c r="AC11" i="68" s="1"/>
  <c r="AA7" i="66"/>
  <c r="AC7" i="66" s="1"/>
  <c r="AA12" i="69"/>
  <c r="AC12" i="69" s="1"/>
  <c r="AD12" i="69" s="1"/>
  <c r="AA10" i="68"/>
  <c r="AC10" i="68" s="1"/>
  <c r="AA12" i="66"/>
  <c r="AC12" i="66" s="1"/>
  <c r="C10" i="99"/>
  <c r="D10" i="99"/>
  <c r="G12" i="95"/>
  <c r="B12" i="95"/>
  <c r="F12" i="95"/>
  <c r="E12" i="95"/>
  <c r="A13" i="95"/>
  <c r="B9" i="101"/>
  <c r="F9" i="101"/>
  <c r="A10" i="101"/>
  <c r="G9" i="101"/>
  <c r="E9" i="101"/>
  <c r="E12" i="97"/>
  <c r="F12" i="97"/>
  <c r="A13" i="97"/>
  <c r="G12" i="97"/>
  <c r="B12" i="97"/>
  <c r="C10" i="88"/>
  <c r="D10" i="88"/>
  <c r="C11" i="96"/>
  <c r="D11" i="96"/>
  <c r="C11" i="95"/>
  <c r="D11" i="95"/>
  <c r="C8" i="101"/>
  <c r="D8" i="101"/>
  <c r="A8" i="103"/>
  <c r="F7" i="103"/>
  <c r="G7" i="103"/>
  <c r="E7" i="103"/>
  <c r="B7" i="103"/>
  <c r="D9" i="100"/>
  <c r="C9" i="100"/>
  <c r="B12" i="96"/>
  <c r="F12" i="96"/>
  <c r="A13" i="96"/>
  <c r="G12" i="96"/>
  <c r="E12" i="96"/>
  <c r="A12" i="88"/>
  <c r="G11" i="88"/>
  <c r="F11" i="88"/>
  <c r="B11" i="88"/>
  <c r="E11" i="88"/>
  <c r="G11" i="99"/>
  <c r="E11" i="99"/>
  <c r="B11" i="99"/>
  <c r="F11" i="99"/>
  <c r="A12" i="99"/>
  <c r="D10" i="98"/>
  <c r="C10" i="98"/>
  <c r="C7" i="102"/>
  <c r="D7" i="102"/>
  <c r="E10" i="100"/>
  <c r="F10" i="100"/>
  <c r="G10" i="100"/>
  <c r="B10" i="100"/>
  <c r="A11" i="100"/>
  <c r="A12" i="98"/>
  <c r="B11" i="98"/>
  <c r="E11" i="98"/>
  <c r="F11" i="98"/>
  <c r="G11" i="98"/>
  <c r="A9" i="102"/>
  <c r="E8" i="102"/>
  <c r="G8" i="102"/>
  <c r="F8" i="102"/>
  <c r="B8" i="102"/>
  <c r="D11" i="97"/>
  <c r="C11" i="97"/>
  <c r="D6" i="103" l="1"/>
  <c r="B7" i="104"/>
  <c r="D7" i="104" s="1"/>
  <c r="G7" i="104"/>
  <c r="E7" i="104"/>
  <c r="C6" i="104"/>
  <c r="A8" i="104"/>
  <c r="A9" i="104" s="1"/>
  <c r="AD12" i="66"/>
  <c r="AD8" i="66"/>
  <c r="AD11" i="66"/>
  <c r="AD9" i="66"/>
  <c r="AD10" i="66"/>
  <c r="AD7" i="66"/>
  <c r="C8" i="102"/>
  <c r="D8" i="102"/>
  <c r="D11" i="98"/>
  <c r="C11" i="98"/>
  <c r="G12" i="88"/>
  <c r="E12" i="88"/>
  <c r="A13" i="88"/>
  <c r="B12" i="88"/>
  <c r="F12" i="88"/>
  <c r="D7" i="103"/>
  <c r="C7" i="103"/>
  <c r="B12" i="98"/>
  <c r="A13" i="98"/>
  <c r="E12" i="98"/>
  <c r="G12" i="98"/>
  <c r="F12" i="98"/>
  <c r="C11" i="99"/>
  <c r="D11" i="99"/>
  <c r="F10" i="101"/>
  <c r="A11" i="101"/>
  <c r="G10" i="101"/>
  <c r="E10" i="101"/>
  <c r="B10" i="101"/>
  <c r="C12" i="97"/>
  <c r="D12" i="97"/>
  <c r="D10" i="100"/>
  <c r="C10" i="100"/>
  <c r="A14" i="96"/>
  <c r="G13" i="96"/>
  <c r="B13" i="96"/>
  <c r="F13" i="96"/>
  <c r="E13" i="96"/>
  <c r="D9" i="101"/>
  <c r="C9" i="101"/>
  <c r="E11" i="100"/>
  <c r="A12" i="100"/>
  <c r="G11" i="100"/>
  <c r="B11" i="100"/>
  <c r="F11" i="100"/>
  <c r="B8" i="103"/>
  <c r="A9" i="103"/>
  <c r="E8" i="103"/>
  <c r="G8" i="103"/>
  <c r="F8" i="103"/>
  <c r="B13" i="97"/>
  <c r="A14" i="97"/>
  <c r="F13" i="97"/>
  <c r="G13" i="97"/>
  <c r="E13" i="97"/>
  <c r="F13" i="95"/>
  <c r="G13" i="95"/>
  <c r="E13" i="95"/>
  <c r="A14" i="95"/>
  <c r="B13" i="95"/>
  <c r="D11" i="88"/>
  <c r="C11" i="88"/>
  <c r="D12" i="96"/>
  <c r="C12" i="96"/>
  <c r="B9" i="102"/>
  <c r="F9" i="102"/>
  <c r="G9" i="102"/>
  <c r="A10" i="102"/>
  <c r="E9" i="102"/>
  <c r="G12" i="99"/>
  <c r="E12" i="99"/>
  <c r="F12" i="99"/>
  <c r="B12" i="99"/>
  <c r="A13" i="99"/>
  <c r="C12" i="95"/>
  <c r="D12" i="95"/>
  <c r="C7" i="104" l="1"/>
  <c r="G8" i="104"/>
  <c r="F8" i="104"/>
  <c r="E8" i="104"/>
  <c r="B8" i="104"/>
  <c r="C8" i="104" s="1"/>
  <c r="B10" i="72"/>
  <c r="B12" i="72"/>
  <c r="B9" i="72"/>
  <c r="B8" i="72"/>
  <c r="B11" i="72"/>
  <c r="B7" i="72"/>
  <c r="F13" i="99"/>
  <c r="G13" i="99"/>
  <c r="A14" i="99"/>
  <c r="E13" i="99"/>
  <c r="B13" i="99"/>
  <c r="D13" i="97"/>
  <c r="C13" i="97"/>
  <c r="D12" i="99"/>
  <c r="C12" i="99"/>
  <c r="G12" i="100"/>
  <c r="F12" i="100"/>
  <c r="B12" i="100"/>
  <c r="A13" i="100"/>
  <c r="E12" i="100"/>
  <c r="A15" i="96"/>
  <c r="B14" i="96"/>
  <c r="E14" i="96"/>
  <c r="F14" i="96"/>
  <c r="G14" i="96"/>
  <c r="F11" i="101"/>
  <c r="G11" i="101"/>
  <c r="E11" i="101"/>
  <c r="B11" i="101"/>
  <c r="A12" i="101"/>
  <c r="D12" i="98"/>
  <c r="C12" i="98"/>
  <c r="F10" i="102"/>
  <c r="A11" i="102"/>
  <c r="E10" i="102"/>
  <c r="B10" i="102"/>
  <c r="G10" i="102"/>
  <c r="G14" i="95"/>
  <c r="F14" i="95"/>
  <c r="E14" i="95"/>
  <c r="B14" i="95"/>
  <c r="A15" i="95"/>
  <c r="E13" i="98"/>
  <c r="B13" i="98"/>
  <c r="A14" i="98"/>
  <c r="G13" i="98"/>
  <c r="F13" i="98"/>
  <c r="D9" i="102"/>
  <c r="C9" i="102"/>
  <c r="D11" i="100"/>
  <c r="C11" i="100"/>
  <c r="A10" i="103"/>
  <c r="B9" i="103"/>
  <c r="G9" i="103"/>
  <c r="F9" i="103"/>
  <c r="E9" i="103"/>
  <c r="D8" i="103"/>
  <c r="C8" i="103"/>
  <c r="B9" i="104"/>
  <c r="A10" i="104"/>
  <c r="F9" i="104"/>
  <c r="G9" i="104"/>
  <c r="E9" i="104"/>
  <c r="C10" i="101"/>
  <c r="D10" i="101"/>
  <c r="D13" i="95"/>
  <c r="C13" i="95"/>
  <c r="C12" i="88"/>
  <c r="D12" i="88"/>
  <c r="E14" i="97"/>
  <c r="G14" i="97"/>
  <c r="B14" i="97"/>
  <c r="F14" i="97"/>
  <c r="A15" i="97"/>
  <c r="D13" i="96"/>
  <c r="C13" i="96"/>
  <c r="G13" i="88"/>
  <c r="E13" i="88"/>
  <c r="B13" i="88"/>
  <c r="F13" i="88"/>
  <c r="A14" i="88"/>
  <c r="D8" i="104" l="1"/>
  <c r="D7" i="72"/>
  <c r="F7" i="72"/>
  <c r="E7" i="72"/>
  <c r="C7" i="72"/>
  <c r="D11" i="72"/>
  <c r="E11" i="72"/>
  <c r="F11" i="72"/>
  <c r="C11" i="72"/>
  <c r="E8" i="72"/>
  <c r="D8" i="72"/>
  <c r="C8" i="72"/>
  <c r="F8" i="72"/>
  <c r="C9" i="72"/>
  <c r="E9" i="72"/>
  <c r="F9" i="72"/>
  <c r="D9" i="72"/>
  <c r="C12" i="72"/>
  <c r="E12" i="72"/>
  <c r="D12" i="72"/>
  <c r="F12" i="72"/>
  <c r="F10" i="72"/>
  <c r="C10" i="72"/>
  <c r="E10" i="72"/>
  <c r="D10" i="72"/>
  <c r="B14" i="98"/>
  <c r="F14" i="98"/>
  <c r="E14" i="98"/>
  <c r="G14" i="98"/>
  <c r="A15" i="98"/>
  <c r="C11" i="101"/>
  <c r="D11" i="101"/>
  <c r="B15" i="96"/>
  <c r="A16" i="96"/>
  <c r="F15" i="96"/>
  <c r="E15" i="96"/>
  <c r="G15" i="96"/>
  <c r="A15" i="88"/>
  <c r="E14" i="88"/>
  <c r="G14" i="88"/>
  <c r="B14" i="88"/>
  <c r="F14" i="88"/>
  <c r="D14" i="97"/>
  <c r="C14" i="97"/>
  <c r="E10" i="104"/>
  <c r="G10" i="104"/>
  <c r="B10" i="104"/>
  <c r="F10" i="104"/>
  <c r="A11" i="104"/>
  <c r="C13" i="98"/>
  <c r="D13" i="98"/>
  <c r="D10" i="102"/>
  <c r="C10" i="102"/>
  <c r="C13" i="99"/>
  <c r="D13" i="99"/>
  <c r="F15" i="97"/>
  <c r="E15" i="97"/>
  <c r="B15" i="97"/>
  <c r="G15" i="97"/>
  <c r="A16" i="97"/>
  <c r="A13" i="101"/>
  <c r="B12" i="101"/>
  <c r="F12" i="101"/>
  <c r="E12" i="101"/>
  <c r="G12" i="101"/>
  <c r="B15" i="95"/>
  <c r="E15" i="95"/>
  <c r="F15" i="95"/>
  <c r="G15" i="95"/>
  <c r="A16" i="95"/>
  <c r="G11" i="102"/>
  <c r="E11" i="102"/>
  <c r="F11" i="102"/>
  <c r="B11" i="102"/>
  <c r="A12" i="102"/>
  <c r="C12" i="100"/>
  <c r="D12" i="100"/>
  <c r="A11" i="103"/>
  <c r="E10" i="103"/>
  <c r="F10" i="103"/>
  <c r="G10" i="103"/>
  <c r="B10" i="103"/>
  <c r="C13" i="88"/>
  <c r="D13" i="88"/>
  <c r="E13" i="100"/>
  <c r="A14" i="100"/>
  <c r="B13" i="100"/>
  <c r="G13" i="100"/>
  <c r="F13" i="100"/>
  <c r="C14" i="95"/>
  <c r="D14" i="95"/>
  <c r="E14" i="99"/>
  <c r="B14" i="99"/>
  <c r="F14" i="99"/>
  <c r="A15" i="99"/>
  <c r="G14" i="99"/>
  <c r="D9" i="103"/>
  <c r="C9" i="103"/>
  <c r="D14" i="96"/>
  <c r="C14" i="96"/>
  <c r="D9" i="104"/>
  <c r="C9" i="104"/>
  <c r="H10" i="72" l="1"/>
  <c r="AB11" i="63" s="1"/>
  <c r="H9" i="72"/>
  <c r="AB7" i="63" s="1"/>
  <c r="G12" i="72"/>
  <c r="I12" i="72" s="1"/>
  <c r="H11" i="72"/>
  <c r="AB8" i="63" s="1"/>
  <c r="G10" i="72"/>
  <c r="I10" i="72" s="1"/>
  <c r="H12" i="72"/>
  <c r="AB12" i="63" s="1"/>
  <c r="G9" i="72"/>
  <c r="I9" i="72" s="1"/>
  <c r="G7" i="72"/>
  <c r="I7" i="72" s="1"/>
  <c r="G11" i="72"/>
  <c r="H7" i="72"/>
  <c r="AB9" i="63" s="1"/>
  <c r="AA12" i="63"/>
  <c r="G8" i="72"/>
  <c r="AA9" i="63"/>
  <c r="H8" i="72"/>
  <c r="AB10" i="63" s="1"/>
  <c r="D15" i="95"/>
  <c r="C15" i="95"/>
  <c r="B16" i="96"/>
  <c r="G16" i="96"/>
  <c r="F16" i="96"/>
  <c r="A17" i="96"/>
  <c r="E16" i="96"/>
  <c r="C14" i="98"/>
  <c r="D14" i="98"/>
  <c r="D15" i="97"/>
  <c r="C15" i="97"/>
  <c r="B15" i="99"/>
  <c r="G15" i="99"/>
  <c r="A16" i="99"/>
  <c r="F15" i="99"/>
  <c r="E15" i="99"/>
  <c r="C13" i="100"/>
  <c r="D13" i="100"/>
  <c r="E11" i="104"/>
  <c r="B11" i="104"/>
  <c r="F11" i="104"/>
  <c r="A12" i="104"/>
  <c r="G11" i="104"/>
  <c r="C14" i="88"/>
  <c r="D14" i="88"/>
  <c r="C15" i="96"/>
  <c r="D15" i="96"/>
  <c r="C10" i="103"/>
  <c r="D10" i="103"/>
  <c r="D11" i="102"/>
  <c r="C11" i="102"/>
  <c r="G14" i="100"/>
  <c r="A15" i="100"/>
  <c r="E14" i="100"/>
  <c r="B14" i="100"/>
  <c r="F14" i="100"/>
  <c r="D14" i="99"/>
  <c r="C14" i="99"/>
  <c r="A12" i="103"/>
  <c r="F11" i="103"/>
  <c r="G11" i="103"/>
  <c r="B11" i="103"/>
  <c r="E11" i="103"/>
  <c r="G16" i="95"/>
  <c r="F16" i="95"/>
  <c r="A17" i="95"/>
  <c r="B16" i="95"/>
  <c r="E16" i="95"/>
  <c r="D12" i="101"/>
  <c r="C12" i="101"/>
  <c r="D10" i="104"/>
  <c r="C10" i="104"/>
  <c r="G13" i="101"/>
  <c r="E13" i="101"/>
  <c r="B13" i="101"/>
  <c r="A14" i="101"/>
  <c r="F13" i="101"/>
  <c r="F15" i="88"/>
  <c r="G15" i="88"/>
  <c r="E15" i="88"/>
  <c r="A16" i="88"/>
  <c r="B15" i="88"/>
  <c r="B15" i="98"/>
  <c r="F15" i="98"/>
  <c r="E15" i="98"/>
  <c r="A16" i="98"/>
  <c r="G15" i="98"/>
  <c r="B16" i="97"/>
  <c r="E16" i="97"/>
  <c r="F16" i="97"/>
  <c r="G16" i="97"/>
  <c r="A17" i="97"/>
  <c r="G12" i="102"/>
  <c r="F12" i="102"/>
  <c r="B12" i="102"/>
  <c r="E12" i="102"/>
  <c r="A13" i="102"/>
  <c r="AA11" i="63" l="1"/>
  <c r="AC11" i="63" s="1"/>
  <c r="AC12" i="63"/>
  <c r="AA7" i="63"/>
  <c r="AC7" i="63" s="1"/>
  <c r="AC9" i="63"/>
  <c r="I11" i="72"/>
  <c r="AA8" i="63"/>
  <c r="AC8" i="63" s="1"/>
  <c r="I8" i="72"/>
  <c r="AA10" i="63"/>
  <c r="AC10" i="63" s="1"/>
  <c r="B17" i="97"/>
  <c r="A18" i="97"/>
  <c r="E17" i="97"/>
  <c r="F17" i="97"/>
  <c r="G17" i="97"/>
  <c r="G15" i="100"/>
  <c r="E15" i="100"/>
  <c r="F15" i="100"/>
  <c r="B15" i="100"/>
  <c r="A16" i="100"/>
  <c r="C11" i="104"/>
  <c r="D11" i="104"/>
  <c r="D15" i="99"/>
  <c r="C15" i="99"/>
  <c r="E17" i="96"/>
  <c r="B17" i="96"/>
  <c r="G17" i="96"/>
  <c r="A18" i="96"/>
  <c r="F17" i="96"/>
  <c r="E16" i="88"/>
  <c r="G16" i="88"/>
  <c r="F16" i="88"/>
  <c r="A17" i="88"/>
  <c r="B16" i="88"/>
  <c r="C11" i="103"/>
  <c r="D11" i="103"/>
  <c r="G13" i="102"/>
  <c r="F13" i="102"/>
  <c r="E13" i="102"/>
  <c r="A14" i="102"/>
  <c r="B13" i="102"/>
  <c r="G16" i="98"/>
  <c r="E16" i="98"/>
  <c r="A17" i="98"/>
  <c r="B16" i="98"/>
  <c r="F16" i="98"/>
  <c r="B12" i="104"/>
  <c r="G12" i="104"/>
  <c r="A13" i="104"/>
  <c r="F12" i="104"/>
  <c r="E12" i="104"/>
  <c r="F14" i="101"/>
  <c r="E14" i="101"/>
  <c r="A15" i="101"/>
  <c r="B14" i="101"/>
  <c r="G14" i="101"/>
  <c r="B17" i="95"/>
  <c r="A18" i="95"/>
  <c r="F17" i="95"/>
  <c r="E17" i="95"/>
  <c r="G17" i="95"/>
  <c r="C16" i="96"/>
  <c r="D16" i="96"/>
  <c r="D12" i="102"/>
  <c r="C12" i="102"/>
  <c r="A13" i="103"/>
  <c r="G12" i="103"/>
  <c r="E12" i="103"/>
  <c r="F12" i="103"/>
  <c r="B12" i="103"/>
  <c r="D15" i="98"/>
  <c r="C15" i="98"/>
  <c r="D14" i="100"/>
  <c r="C14" i="100"/>
  <c r="D16" i="95"/>
  <c r="C16" i="95"/>
  <c r="D16" i="97"/>
  <c r="C16" i="97"/>
  <c r="C13" i="101"/>
  <c r="D13" i="101"/>
  <c r="C15" i="88"/>
  <c r="D15" i="88"/>
  <c r="A17" i="99"/>
  <c r="F16" i="99"/>
  <c r="G16" i="99"/>
  <c r="B16" i="99"/>
  <c r="E16" i="99"/>
  <c r="AD10" i="63" l="1"/>
  <c r="AD8" i="63"/>
  <c r="B7" i="73" s="1"/>
  <c r="AD9" i="63"/>
  <c r="AD7" i="63"/>
  <c r="AD12" i="63"/>
  <c r="AD11" i="63"/>
  <c r="D16" i="98"/>
  <c r="C16" i="98"/>
  <c r="G13" i="103"/>
  <c r="E13" i="103"/>
  <c r="F13" i="103"/>
  <c r="B13" i="103"/>
  <c r="A14" i="103"/>
  <c r="A19" i="95"/>
  <c r="F18" i="95"/>
  <c r="E18" i="95"/>
  <c r="B18" i="95"/>
  <c r="G18" i="95"/>
  <c r="A18" i="98"/>
  <c r="E17" i="98"/>
  <c r="B17" i="98"/>
  <c r="F17" i="98"/>
  <c r="G17" i="98"/>
  <c r="D17" i="95"/>
  <c r="C17" i="95"/>
  <c r="B13" i="104"/>
  <c r="E13" i="104"/>
  <c r="G13" i="104"/>
  <c r="F13" i="104"/>
  <c r="A14" i="104"/>
  <c r="G18" i="96"/>
  <c r="A19" i="96"/>
  <c r="E18" i="96"/>
  <c r="F18" i="96"/>
  <c r="B18" i="96"/>
  <c r="F16" i="100"/>
  <c r="A17" i="100"/>
  <c r="E16" i="100"/>
  <c r="G16" i="100"/>
  <c r="B16" i="100"/>
  <c r="B18" i="97"/>
  <c r="F18" i="97"/>
  <c r="E18" i="97"/>
  <c r="A19" i="97"/>
  <c r="G18" i="97"/>
  <c r="D16" i="99"/>
  <c r="C16" i="99"/>
  <c r="E17" i="99"/>
  <c r="A18" i="99"/>
  <c r="F17" i="99"/>
  <c r="G17" i="99"/>
  <c r="B17" i="99"/>
  <c r="C14" i="101"/>
  <c r="D14" i="101"/>
  <c r="D13" i="102"/>
  <c r="C13" i="102"/>
  <c r="C16" i="88"/>
  <c r="D16" i="88"/>
  <c r="C15" i="100"/>
  <c r="D15" i="100"/>
  <c r="C17" i="97"/>
  <c r="D17" i="97"/>
  <c r="D12" i="103"/>
  <c r="C12" i="103"/>
  <c r="G15" i="101"/>
  <c r="F15" i="101"/>
  <c r="B15" i="101"/>
  <c r="A16" i="101"/>
  <c r="E15" i="101"/>
  <c r="D12" i="104"/>
  <c r="C12" i="104"/>
  <c r="A15" i="102"/>
  <c r="F14" i="102"/>
  <c r="G14" i="102"/>
  <c r="B14" i="102"/>
  <c r="E14" i="102"/>
  <c r="G17" i="88"/>
  <c r="E17" i="88"/>
  <c r="A18" i="88"/>
  <c r="B17" i="88"/>
  <c r="F17" i="88"/>
  <c r="C17" i="96"/>
  <c r="D17" i="96"/>
  <c r="B11" i="73" l="1"/>
  <c r="C11" i="73" s="1"/>
  <c r="B10" i="73"/>
  <c r="B9" i="73"/>
  <c r="B12" i="73"/>
  <c r="B8" i="73"/>
  <c r="C7" i="73"/>
  <c r="F7" i="73"/>
  <c r="D7" i="73"/>
  <c r="E7" i="73"/>
  <c r="H7" i="73"/>
  <c r="G7" i="73"/>
  <c r="F19" i="96"/>
  <c r="B19" i="96"/>
  <c r="A20" i="96"/>
  <c r="E19" i="96"/>
  <c r="G19" i="96"/>
  <c r="D17" i="98"/>
  <c r="C17" i="98"/>
  <c r="A15" i="103"/>
  <c r="B14" i="103"/>
  <c r="E14" i="103"/>
  <c r="F14" i="103"/>
  <c r="G14" i="103"/>
  <c r="C13" i="103"/>
  <c r="D13" i="103"/>
  <c r="D16" i="100"/>
  <c r="C16" i="100"/>
  <c r="E16" i="101"/>
  <c r="F16" i="101"/>
  <c r="B16" i="101"/>
  <c r="G16" i="101"/>
  <c r="A17" i="101"/>
  <c r="D17" i="99"/>
  <c r="C17" i="99"/>
  <c r="F14" i="104"/>
  <c r="G14" i="104"/>
  <c r="B14" i="104"/>
  <c r="E14" i="104"/>
  <c r="A15" i="104"/>
  <c r="G18" i="98"/>
  <c r="E18" i="98"/>
  <c r="A19" i="98"/>
  <c r="B18" i="98"/>
  <c r="F18" i="98"/>
  <c r="B17" i="100"/>
  <c r="E17" i="100"/>
  <c r="A18" i="100"/>
  <c r="F17" i="100"/>
  <c r="G17" i="100"/>
  <c r="C14" i="102"/>
  <c r="D14" i="102"/>
  <c r="A20" i="97"/>
  <c r="F19" i="97"/>
  <c r="B19" i="97"/>
  <c r="E19" i="97"/>
  <c r="G19" i="97"/>
  <c r="C18" i="95"/>
  <c r="D18" i="95"/>
  <c r="C15" i="101"/>
  <c r="D15" i="101"/>
  <c r="E18" i="99"/>
  <c r="A19" i="99"/>
  <c r="F18" i="99"/>
  <c r="B18" i="99"/>
  <c r="G18" i="99"/>
  <c r="C18" i="96"/>
  <c r="D18" i="96"/>
  <c r="G15" i="102"/>
  <c r="B15" i="102"/>
  <c r="E15" i="102"/>
  <c r="A16" i="102"/>
  <c r="F15" i="102"/>
  <c r="C13" i="104"/>
  <c r="D13" i="104"/>
  <c r="D17" i="88"/>
  <c r="C17" i="88"/>
  <c r="G18" i="88"/>
  <c r="B18" i="88"/>
  <c r="F18" i="88"/>
  <c r="E18" i="88"/>
  <c r="A19" i="88"/>
  <c r="D18" i="97"/>
  <c r="C18" i="97"/>
  <c r="B19" i="95"/>
  <c r="A20" i="95"/>
  <c r="F19" i="95"/>
  <c r="G19" i="95"/>
  <c r="E19" i="95"/>
  <c r="F11" i="73" l="1"/>
  <c r="H11" i="73"/>
  <c r="E11" i="73"/>
  <c r="G11" i="73"/>
  <c r="I11" i="73" s="1"/>
  <c r="D11" i="73"/>
  <c r="J7" i="73"/>
  <c r="AB8" i="70" s="1"/>
  <c r="G8" i="73"/>
  <c r="E8" i="73"/>
  <c r="H8" i="73"/>
  <c r="F8" i="73"/>
  <c r="D8" i="73"/>
  <c r="C8" i="73"/>
  <c r="I7" i="73"/>
  <c r="G12" i="73"/>
  <c r="H12" i="73"/>
  <c r="C12" i="73"/>
  <c r="E12" i="73"/>
  <c r="D12" i="73"/>
  <c r="F12" i="73"/>
  <c r="C9" i="73"/>
  <c r="H9" i="73"/>
  <c r="G9" i="73"/>
  <c r="D9" i="73"/>
  <c r="F9" i="73"/>
  <c r="E9" i="73"/>
  <c r="G10" i="73"/>
  <c r="E10" i="73"/>
  <c r="H10" i="73"/>
  <c r="F10" i="73"/>
  <c r="C10" i="73"/>
  <c r="D10" i="73"/>
  <c r="D18" i="98"/>
  <c r="C18" i="98"/>
  <c r="B19" i="98"/>
  <c r="G19" i="98"/>
  <c r="E19" i="98"/>
  <c r="F19" i="98"/>
  <c r="A20" i="98"/>
  <c r="B17" i="101"/>
  <c r="G17" i="101"/>
  <c r="A18" i="101"/>
  <c r="E17" i="101"/>
  <c r="F17" i="101"/>
  <c r="C17" i="100"/>
  <c r="D17" i="100"/>
  <c r="D18" i="99"/>
  <c r="C18" i="99"/>
  <c r="D14" i="104"/>
  <c r="C14" i="104"/>
  <c r="A17" i="102"/>
  <c r="F16" i="102"/>
  <c r="E16" i="102"/>
  <c r="B16" i="102"/>
  <c r="G16" i="102"/>
  <c r="C16" i="101"/>
  <c r="D16" i="101"/>
  <c r="B20" i="96"/>
  <c r="G20" i="96"/>
  <c r="A21" i="96"/>
  <c r="E20" i="96"/>
  <c r="F20" i="96"/>
  <c r="C19" i="95"/>
  <c r="D19" i="95"/>
  <c r="G20" i="97"/>
  <c r="B20" i="97"/>
  <c r="E20" i="97"/>
  <c r="A21" i="97"/>
  <c r="F20" i="97"/>
  <c r="D18" i="88"/>
  <c r="C18" i="88"/>
  <c r="G19" i="99"/>
  <c r="F19" i="99"/>
  <c r="A20" i="99"/>
  <c r="B19" i="99"/>
  <c r="E19" i="99"/>
  <c r="E18" i="100"/>
  <c r="G18" i="100"/>
  <c r="B18" i="100"/>
  <c r="A19" i="100"/>
  <c r="F18" i="100"/>
  <c r="A16" i="104"/>
  <c r="G15" i="104"/>
  <c r="B15" i="104"/>
  <c r="F15" i="104"/>
  <c r="E15" i="104"/>
  <c r="C19" i="96"/>
  <c r="D19" i="96"/>
  <c r="B15" i="103"/>
  <c r="A16" i="103"/>
  <c r="E15" i="103"/>
  <c r="G15" i="103"/>
  <c r="F15" i="103"/>
  <c r="G19" i="88"/>
  <c r="B19" i="88"/>
  <c r="F19" i="88"/>
  <c r="E19" i="88"/>
  <c r="A20" i="88"/>
  <c r="E20" i="95"/>
  <c r="F20" i="95"/>
  <c r="G20" i="95"/>
  <c r="B20" i="95"/>
  <c r="A21" i="95"/>
  <c r="D15" i="102"/>
  <c r="C15" i="102"/>
  <c r="C19" i="97"/>
  <c r="D19" i="97"/>
  <c r="D14" i="103"/>
  <c r="C14" i="103"/>
  <c r="J11" i="73" l="1"/>
  <c r="AB10" i="70" s="1"/>
  <c r="I8" i="73"/>
  <c r="K8" i="73" s="1"/>
  <c r="K11" i="73"/>
  <c r="AA10" i="70"/>
  <c r="J12" i="73"/>
  <c r="AB12" i="70" s="1"/>
  <c r="J8" i="73"/>
  <c r="AB9" i="70" s="1"/>
  <c r="I12" i="73"/>
  <c r="J10" i="73"/>
  <c r="AB7" i="70" s="1"/>
  <c r="J9" i="73"/>
  <c r="AB11" i="70" s="1"/>
  <c r="I10" i="73"/>
  <c r="K7" i="73"/>
  <c r="AA8" i="70"/>
  <c r="AC8" i="70" s="1"/>
  <c r="I9" i="73"/>
  <c r="D17" i="101"/>
  <c r="C17" i="101"/>
  <c r="F20" i="88"/>
  <c r="B20" i="88"/>
  <c r="A21" i="88"/>
  <c r="G20" i="88"/>
  <c r="E20" i="88"/>
  <c r="G16" i="103"/>
  <c r="E16" i="103"/>
  <c r="A17" i="103"/>
  <c r="F16" i="103"/>
  <c r="B16" i="103"/>
  <c r="D15" i="104"/>
  <c r="C15" i="104"/>
  <c r="E21" i="97"/>
  <c r="A22" i="97"/>
  <c r="B21" i="97"/>
  <c r="F21" i="97"/>
  <c r="G21" i="97"/>
  <c r="F21" i="96"/>
  <c r="A22" i="96"/>
  <c r="G21" i="96"/>
  <c r="B21" i="96"/>
  <c r="E21" i="96"/>
  <c r="G20" i="98"/>
  <c r="A21" i="98"/>
  <c r="B20" i="98"/>
  <c r="E20" i="98"/>
  <c r="F20" i="98"/>
  <c r="D15" i="103"/>
  <c r="C15" i="103"/>
  <c r="D19" i="99"/>
  <c r="C19" i="99"/>
  <c r="E17" i="102"/>
  <c r="A18" i="102"/>
  <c r="B17" i="102"/>
  <c r="G17" i="102"/>
  <c r="F17" i="102"/>
  <c r="E16" i="104"/>
  <c r="A17" i="104"/>
  <c r="B16" i="104"/>
  <c r="F16" i="104"/>
  <c r="G16" i="104"/>
  <c r="A21" i="99"/>
  <c r="E20" i="99"/>
  <c r="F20" i="99"/>
  <c r="G20" i="99"/>
  <c r="B20" i="99"/>
  <c r="C20" i="97"/>
  <c r="D20" i="97"/>
  <c r="D20" i="96"/>
  <c r="C20" i="96"/>
  <c r="D19" i="98"/>
  <c r="C19" i="98"/>
  <c r="C18" i="100"/>
  <c r="D18" i="100"/>
  <c r="A22" i="95"/>
  <c r="F21" i="95"/>
  <c r="E21" i="95"/>
  <c r="G21" i="95"/>
  <c r="B21" i="95"/>
  <c r="C19" i="88"/>
  <c r="D19" i="88"/>
  <c r="F18" i="101"/>
  <c r="B18" i="101"/>
  <c r="E18" i="101"/>
  <c r="A19" i="101"/>
  <c r="G18" i="101"/>
  <c r="C16" i="102"/>
  <c r="D16" i="102"/>
  <c r="D20" i="95"/>
  <c r="C20" i="95"/>
  <c r="B19" i="100"/>
  <c r="G19" i="100"/>
  <c r="F19" i="100"/>
  <c r="E19" i="100"/>
  <c r="A20" i="100"/>
  <c r="AA9" i="70" l="1"/>
  <c r="AC9" i="70" s="1"/>
  <c r="AC10" i="70"/>
  <c r="K10" i="73"/>
  <c r="AA7" i="70"/>
  <c r="AC7" i="70" s="1"/>
  <c r="K12" i="73"/>
  <c r="AA12" i="70"/>
  <c r="AC12" i="70" s="1"/>
  <c r="K9" i="73"/>
  <c r="AA11" i="70"/>
  <c r="AC11" i="70" s="1"/>
  <c r="F22" i="95"/>
  <c r="E22" i="95"/>
  <c r="B22" i="95"/>
  <c r="G22" i="95"/>
  <c r="A23" i="95"/>
  <c r="C17" i="102"/>
  <c r="D17" i="102"/>
  <c r="A20" i="101"/>
  <c r="B19" i="101"/>
  <c r="F19" i="101"/>
  <c r="E19" i="101"/>
  <c r="G19" i="101"/>
  <c r="C21" i="96"/>
  <c r="D21" i="96"/>
  <c r="A22" i="88"/>
  <c r="B21" i="88"/>
  <c r="F21" i="88"/>
  <c r="G21" i="88"/>
  <c r="E21" i="88"/>
  <c r="D19" i="100"/>
  <c r="C19" i="100"/>
  <c r="B21" i="99"/>
  <c r="E21" i="99"/>
  <c r="A22" i="99"/>
  <c r="F21" i="99"/>
  <c r="G21" i="99"/>
  <c r="D16" i="103"/>
  <c r="C16" i="103"/>
  <c r="D20" i="88"/>
  <c r="C20" i="88"/>
  <c r="G22" i="96"/>
  <c r="F22" i="96"/>
  <c r="E22" i="96"/>
  <c r="A23" i="96"/>
  <c r="B22" i="96"/>
  <c r="D16" i="104"/>
  <c r="C16" i="104"/>
  <c r="C20" i="98"/>
  <c r="D20" i="98"/>
  <c r="B18" i="102"/>
  <c r="G18" i="102"/>
  <c r="A19" i="102"/>
  <c r="E18" i="102"/>
  <c r="F18" i="102"/>
  <c r="D20" i="99"/>
  <c r="C20" i="99"/>
  <c r="G17" i="104"/>
  <c r="E17" i="104"/>
  <c r="A18" i="104"/>
  <c r="B17" i="104"/>
  <c r="F17" i="104"/>
  <c r="B21" i="98"/>
  <c r="E21" i="98"/>
  <c r="F21" i="98"/>
  <c r="A22" i="98"/>
  <c r="G21" i="98"/>
  <c r="A18" i="103"/>
  <c r="G17" i="103"/>
  <c r="F17" i="103"/>
  <c r="E17" i="103"/>
  <c r="B17" i="103"/>
  <c r="D18" i="101"/>
  <c r="C18" i="101"/>
  <c r="B20" i="100"/>
  <c r="F20" i="100"/>
  <c r="G20" i="100"/>
  <c r="E20" i="100"/>
  <c r="A21" i="100"/>
  <c r="C21" i="95"/>
  <c r="D21" i="95"/>
  <c r="D21" i="97"/>
  <c r="C21" i="97"/>
  <c r="G22" i="97"/>
  <c r="B22" i="97"/>
  <c r="A23" i="97"/>
  <c r="E22" i="97"/>
  <c r="F22" i="97"/>
  <c r="AD11" i="70" l="1"/>
  <c r="AD7" i="70"/>
  <c r="AD10" i="70"/>
  <c r="AD8" i="70"/>
  <c r="AD9" i="70"/>
  <c r="AD12" i="70"/>
  <c r="B23" i="97"/>
  <c r="F23" i="97"/>
  <c r="E23" i="97"/>
  <c r="G23" i="97"/>
  <c r="A24" i="97"/>
  <c r="B22" i="88"/>
  <c r="G22" i="88"/>
  <c r="A23" i="88"/>
  <c r="E22" i="88"/>
  <c r="F22" i="88"/>
  <c r="C17" i="103"/>
  <c r="D17" i="103"/>
  <c r="C21" i="99"/>
  <c r="D21" i="99"/>
  <c r="B20" i="101"/>
  <c r="G20" i="101"/>
  <c r="A21" i="101"/>
  <c r="F20" i="101"/>
  <c r="E20" i="101"/>
  <c r="C21" i="98"/>
  <c r="D21" i="98"/>
  <c r="A24" i="95"/>
  <c r="E23" i="95"/>
  <c r="F23" i="95"/>
  <c r="B23" i="95"/>
  <c r="G23" i="95"/>
  <c r="C22" i="97"/>
  <c r="D22" i="97"/>
  <c r="B21" i="100"/>
  <c r="E21" i="100"/>
  <c r="G21" i="100"/>
  <c r="A22" i="100"/>
  <c r="F21" i="100"/>
  <c r="E22" i="98"/>
  <c r="G22" i="98"/>
  <c r="F22" i="98"/>
  <c r="B22" i="98"/>
  <c r="A23" i="98"/>
  <c r="D17" i="104"/>
  <c r="C17" i="104"/>
  <c r="E19" i="102"/>
  <c r="B19" i="102"/>
  <c r="G19" i="102"/>
  <c r="F19" i="102"/>
  <c r="A20" i="102"/>
  <c r="C22" i="96"/>
  <c r="D22" i="96"/>
  <c r="C22" i="95"/>
  <c r="D22" i="95"/>
  <c r="C21" i="88"/>
  <c r="D21" i="88"/>
  <c r="E18" i="103"/>
  <c r="A19" i="103"/>
  <c r="B18" i="103"/>
  <c r="G18" i="103"/>
  <c r="F18" i="103"/>
  <c r="E18" i="104"/>
  <c r="G18" i="104"/>
  <c r="F18" i="104"/>
  <c r="A19" i="104"/>
  <c r="B18" i="104"/>
  <c r="B23" i="96"/>
  <c r="G23" i="96"/>
  <c r="A24" i="96"/>
  <c r="F23" i="96"/>
  <c r="E23" i="96"/>
  <c r="B22" i="99"/>
  <c r="A23" i="99"/>
  <c r="E22" i="99"/>
  <c r="G22" i="99"/>
  <c r="F22" i="99"/>
  <c r="C20" i="100"/>
  <c r="D20" i="100"/>
  <c r="C18" i="102"/>
  <c r="D18" i="102"/>
  <c r="D19" i="101"/>
  <c r="C19" i="101"/>
  <c r="B7" i="74" l="1"/>
  <c r="B11" i="74"/>
  <c r="B10" i="74"/>
  <c r="B8" i="74"/>
  <c r="B12" i="74"/>
  <c r="B9" i="74"/>
  <c r="C23" i="95"/>
  <c r="D23" i="95"/>
  <c r="B21" i="101"/>
  <c r="F21" i="101"/>
  <c r="A22" i="101"/>
  <c r="E21" i="101"/>
  <c r="G21" i="101"/>
  <c r="D23" i="97"/>
  <c r="C23" i="97"/>
  <c r="D23" i="96"/>
  <c r="C23" i="96"/>
  <c r="D22" i="99"/>
  <c r="C22" i="99"/>
  <c r="A25" i="96"/>
  <c r="F24" i="96"/>
  <c r="B24" i="96"/>
  <c r="E24" i="96"/>
  <c r="G24" i="96"/>
  <c r="B22" i="100"/>
  <c r="E22" i="100"/>
  <c r="G22" i="100"/>
  <c r="A23" i="100"/>
  <c r="F22" i="100"/>
  <c r="E23" i="88"/>
  <c r="B23" i="88"/>
  <c r="A24" i="88"/>
  <c r="G23" i="88"/>
  <c r="F23" i="88"/>
  <c r="D19" i="102"/>
  <c r="C19" i="102"/>
  <c r="D20" i="101"/>
  <c r="C20" i="101"/>
  <c r="D18" i="103"/>
  <c r="C18" i="103"/>
  <c r="F23" i="98"/>
  <c r="G23" i="98"/>
  <c r="B23" i="98"/>
  <c r="A24" i="98"/>
  <c r="E23" i="98"/>
  <c r="A20" i="103"/>
  <c r="E19" i="103"/>
  <c r="F19" i="103"/>
  <c r="G19" i="103"/>
  <c r="B19" i="103"/>
  <c r="D22" i="98"/>
  <c r="C22" i="98"/>
  <c r="D21" i="100"/>
  <c r="C21" i="100"/>
  <c r="F24" i="97"/>
  <c r="B24" i="97"/>
  <c r="E24" i="97"/>
  <c r="A25" i="97"/>
  <c r="G24" i="97"/>
  <c r="B24" i="95"/>
  <c r="E24" i="95"/>
  <c r="F24" i="95"/>
  <c r="A25" i="95"/>
  <c r="G24" i="95"/>
  <c r="C22" i="88"/>
  <c r="D22" i="88"/>
  <c r="D18" i="104"/>
  <c r="C18" i="104"/>
  <c r="B20" i="102"/>
  <c r="F20" i="102"/>
  <c r="G20" i="102"/>
  <c r="E20" i="102"/>
  <c r="A21" i="102"/>
  <c r="E23" i="99"/>
  <c r="B23" i="99"/>
  <c r="F23" i="99"/>
  <c r="A24" i="99"/>
  <c r="G23" i="99"/>
  <c r="G19" i="104"/>
  <c r="F19" i="104"/>
  <c r="A20" i="104"/>
  <c r="B19" i="104"/>
  <c r="E19" i="104"/>
  <c r="F9" i="74" l="1"/>
  <c r="I9" i="74"/>
  <c r="G9" i="74"/>
  <c r="J9" i="74"/>
  <c r="E9" i="74"/>
  <c r="D9" i="74"/>
  <c r="H9" i="74"/>
  <c r="C9" i="74"/>
  <c r="H12" i="74"/>
  <c r="J12" i="74"/>
  <c r="E12" i="74"/>
  <c r="G12" i="74"/>
  <c r="C12" i="74"/>
  <c r="D12" i="74"/>
  <c r="I12" i="74"/>
  <c r="F12" i="74"/>
  <c r="C8" i="74"/>
  <c r="J8" i="74"/>
  <c r="F8" i="74"/>
  <c r="E8" i="74"/>
  <c r="G8" i="74"/>
  <c r="H8" i="74"/>
  <c r="D8" i="74"/>
  <c r="I8" i="74"/>
  <c r="I10" i="74"/>
  <c r="E10" i="74"/>
  <c r="D10" i="74"/>
  <c r="G10" i="74"/>
  <c r="F10" i="74"/>
  <c r="H10" i="74"/>
  <c r="C10" i="74"/>
  <c r="J10" i="74"/>
  <c r="J11" i="74"/>
  <c r="C11" i="74"/>
  <c r="I11" i="74"/>
  <c r="F11" i="74"/>
  <c r="D11" i="74"/>
  <c r="E11" i="74"/>
  <c r="G11" i="74"/>
  <c r="H11" i="74"/>
  <c r="C7" i="74"/>
  <c r="I7" i="74"/>
  <c r="E7" i="74"/>
  <c r="D7" i="74"/>
  <c r="F7" i="74"/>
  <c r="J7" i="74"/>
  <c r="G7" i="74"/>
  <c r="H7" i="74"/>
  <c r="D24" i="97"/>
  <c r="C24" i="97"/>
  <c r="G24" i="99"/>
  <c r="F24" i="99"/>
  <c r="A25" i="99"/>
  <c r="E24" i="99"/>
  <c r="B24" i="99"/>
  <c r="D20" i="102"/>
  <c r="C20" i="102"/>
  <c r="C24" i="95"/>
  <c r="D24" i="95"/>
  <c r="G20" i="103"/>
  <c r="B20" i="103"/>
  <c r="F20" i="103"/>
  <c r="E20" i="103"/>
  <c r="A21" i="103"/>
  <c r="B23" i="100"/>
  <c r="E23" i="100"/>
  <c r="A24" i="100"/>
  <c r="G23" i="100"/>
  <c r="F23" i="100"/>
  <c r="F25" i="96"/>
  <c r="B25" i="96"/>
  <c r="A26" i="96"/>
  <c r="E25" i="96"/>
  <c r="G25" i="96"/>
  <c r="C24" i="96"/>
  <c r="D24" i="96"/>
  <c r="D23" i="99"/>
  <c r="C23" i="99"/>
  <c r="F22" i="101"/>
  <c r="B22" i="101"/>
  <c r="G22" i="101"/>
  <c r="E22" i="101"/>
  <c r="A23" i="101"/>
  <c r="G20" i="104"/>
  <c r="E20" i="104"/>
  <c r="A21" i="104"/>
  <c r="F20" i="104"/>
  <c r="B20" i="104"/>
  <c r="B21" i="102"/>
  <c r="G21" i="102"/>
  <c r="E21" i="102"/>
  <c r="A22" i="102"/>
  <c r="F21" i="102"/>
  <c r="D23" i="98"/>
  <c r="C23" i="98"/>
  <c r="C22" i="100"/>
  <c r="D22" i="100"/>
  <c r="D21" i="101"/>
  <c r="C21" i="101"/>
  <c r="C19" i="104"/>
  <c r="D19" i="104"/>
  <c r="G24" i="98"/>
  <c r="E24" i="98"/>
  <c r="B24" i="98"/>
  <c r="A25" i="98"/>
  <c r="F24" i="98"/>
  <c r="B25" i="97"/>
  <c r="E25" i="97"/>
  <c r="G25" i="97"/>
  <c r="A26" i="97"/>
  <c r="F25" i="97"/>
  <c r="D19" i="103"/>
  <c r="C19" i="103"/>
  <c r="E24" i="88"/>
  <c r="A25" i="88"/>
  <c r="B24" i="88"/>
  <c r="F24" i="88"/>
  <c r="G24" i="88"/>
  <c r="A26" i="95"/>
  <c r="F25" i="95"/>
  <c r="G25" i="95"/>
  <c r="E25" i="95"/>
  <c r="B25" i="95"/>
  <c r="C23" i="88"/>
  <c r="D23" i="88"/>
  <c r="K9" i="74" l="1"/>
  <c r="M9" i="74" s="1"/>
  <c r="K10" i="74"/>
  <c r="M10" i="74" s="1"/>
  <c r="L8" i="74"/>
  <c r="AB7" i="68" s="1"/>
  <c r="L12" i="74"/>
  <c r="L9" i="74"/>
  <c r="L11" i="74"/>
  <c r="K12" i="74"/>
  <c r="M12" i="74" s="1"/>
  <c r="L7" i="74"/>
  <c r="L10" i="74"/>
  <c r="K11" i="74"/>
  <c r="M11" i="74" s="1"/>
  <c r="K7" i="74"/>
  <c r="M7" i="74" s="1"/>
  <c r="K8" i="74"/>
  <c r="G21" i="104"/>
  <c r="F21" i="104"/>
  <c r="B21" i="104"/>
  <c r="E21" i="104"/>
  <c r="A22" i="104"/>
  <c r="A26" i="99"/>
  <c r="B25" i="99"/>
  <c r="G25" i="99"/>
  <c r="F25" i="99"/>
  <c r="E25" i="99"/>
  <c r="A25" i="100"/>
  <c r="E24" i="100"/>
  <c r="F24" i="100"/>
  <c r="G24" i="100"/>
  <c r="B24" i="100"/>
  <c r="C24" i="88"/>
  <c r="D24" i="88"/>
  <c r="D23" i="100"/>
  <c r="C23" i="100"/>
  <c r="B26" i="95"/>
  <c r="F26" i="95"/>
  <c r="E26" i="95"/>
  <c r="A27" i="95"/>
  <c r="G26" i="95"/>
  <c r="D22" i="101"/>
  <c r="C22" i="101"/>
  <c r="B26" i="97"/>
  <c r="G26" i="97"/>
  <c r="F26" i="97"/>
  <c r="A27" i="97"/>
  <c r="E26" i="97"/>
  <c r="C25" i="95"/>
  <c r="D25" i="95"/>
  <c r="D25" i="97"/>
  <c r="C25" i="97"/>
  <c r="G22" i="102"/>
  <c r="F22" i="102"/>
  <c r="E22" i="102"/>
  <c r="B22" i="102"/>
  <c r="A23" i="102"/>
  <c r="E26" i="96"/>
  <c r="B26" i="96"/>
  <c r="G26" i="96"/>
  <c r="A27" i="96"/>
  <c r="F26" i="96"/>
  <c r="A22" i="103"/>
  <c r="G21" i="103"/>
  <c r="B21" i="103"/>
  <c r="F21" i="103"/>
  <c r="E21" i="103"/>
  <c r="D24" i="98"/>
  <c r="C24" i="98"/>
  <c r="B25" i="88"/>
  <c r="F25" i="88"/>
  <c r="E25" i="88"/>
  <c r="A26" i="88"/>
  <c r="G25" i="88"/>
  <c r="G23" i="101"/>
  <c r="E23" i="101"/>
  <c r="F23" i="101"/>
  <c r="B23" i="101"/>
  <c r="A24" i="101"/>
  <c r="C25" i="96"/>
  <c r="D25" i="96"/>
  <c r="D20" i="104"/>
  <c r="C20" i="104"/>
  <c r="B25" i="98"/>
  <c r="A26" i="98"/>
  <c r="F25" i="98"/>
  <c r="E25" i="98"/>
  <c r="G25" i="98"/>
  <c r="C21" i="102"/>
  <c r="D21" i="102"/>
  <c r="C20" i="103"/>
  <c r="D20" i="103"/>
  <c r="D24" i="99"/>
  <c r="C24" i="99"/>
  <c r="M8" i="74" l="1"/>
  <c r="AA7" i="68"/>
  <c r="AC7" i="68" s="1"/>
  <c r="F24" i="101"/>
  <c r="E24" i="101"/>
  <c r="B24" i="101"/>
  <c r="G24" i="101"/>
  <c r="A25" i="101"/>
  <c r="C25" i="88"/>
  <c r="D25" i="88"/>
  <c r="C21" i="103"/>
  <c r="D21" i="103"/>
  <c r="D25" i="98"/>
  <c r="C25" i="98"/>
  <c r="D26" i="97"/>
  <c r="C26" i="97"/>
  <c r="B25" i="100"/>
  <c r="E25" i="100"/>
  <c r="A26" i="100"/>
  <c r="F25" i="100"/>
  <c r="G25" i="100"/>
  <c r="C21" i="104"/>
  <c r="D21" i="104"/>
  <c r="G26" i="98"/>
  <c r="A27" i="98"/>
  <c r="B26" i="98"/>
  <c r="E26" i="98"/>
  <c r="F26" i="98"/>
  <c r="C26" i="95"/>
  <c r="D26" i="95"/>
  <c r="F22" i="103"/>
  <c r="A23" i="103"/>
  <c r="B22" i="103"/>
  <c r="G22" i="103"/>
  <c r="E22" i="103"/>
  <c r="D26" i="96"/>
  <c r="C26" i="96"/>
  <c r="C23" i="101"/>
  <c r="D23" i="101"/>
  <c r="E26" i="88"/>
  <c r="B26" i="88"/>
  <c r="F26" i="88"/>
  <c r="G26" i="88"/>
  <c r="A27" i="88"/>
  <c r="E27" i="96"/>
  <c r="G27" i="96"/>
  <c r="A28" i="96"/>
  <c r="B27" i="96"/>
  <c r="F27" i="96"/>
  <c r="F23" i="102"/>
  <c r="G23" i="102"/>
  <c r="B23" i="102"/>
  <c r="A24" i="102"/>
  <c r="E23" i="102"/>
  <c r="C22" i="102"/>
  <c r="D22" i="102"/>
  <c r="E27" i="95"/>
  <c r="G27" i="95"/>
  <c r="B27" i="95"/>
  <c r="F27" i="95"/>
  <c r="A28" i="95"/>
  <c r="D24" i="100"/>
  <c r="C24" i="100"/>
  <c r="C25" i="99"/>
  <c r="D25" i="99"/>
  <c r="G27" i="97"/>
  <c r="F27" i="97"/>
  <c r="B27" i="97"/>
  <c r="A28" i="97"/>
  <c r="E27" i="97"/>
  <c r="B26" i="99"/>
  <c r="G26" i="99"/>
  <c r="E26" i="99"/>
  <c r="F26" i="99"/>
  <c r="A27" i="99"/>
  <c r="F22" i="104"/>
  <c r="E22" i="104"/>
  <c r="B22" i="104"/>
  <c r="A23" i="104"/>
  <c r="G22" i="104"/>
  <c r="AD11" i="68" l="1"/>
  <c r="AD12" i="68"/>
  <c r="AD9" i="68"/>
  <c r="AD10" i="68"/>
  <c r="AD7" i="68"/>
  <c r="AD8" i="68"/>
  <c r="B28" i="97"/>
  <c r="F28" i="97"/>
  <c r="E28" i="97"/>
  <c r="G28" i="97"/>
  <c r="A29" i="97"/>
  <c r="G28" i="95"/>
  <c r="B28" i="95"/>
  <c r="A29" i="95"/>
  <c r="F28" i="95"/>
  <c r="E28" i="95"/>
  <c r="G28" i="96"/>
  <c r="B28" i="96"/>
  <c r="F28" i="96"/>
  <c r="A29" i="96"/>
  <c r="E28" i="96"/>
  <c r="C27" i="96"/>
  <c r="D27" i="96"/>
  <c r="D27" i="97"/>
  <c r="C27" i="97"/>
  <c r="B24" i="102"/>
  <c r="E24" i="102"/>
  <c r="G24" i="102"/>
  <c r="A25" i="102"/>
  <c r="F24" i="102"/>
  <c r="B25" i="101"/>
  <c r="A26" i="101"/>
  <c r="F25" i="101"/>
  <c r="E25" i="101"/>
  <c r="G25" i="101"/>
  <c r="D27" i="95"/>
  <c r="C27" i="95"/>
  <c r="C22" i="103"/>
  <c r="D22" i="103"/>
  <c r="C26" i="88"/>
  <c r="D26" i="88"/>
  <c r="B27" i="99"/>
  <c r="G27" i="99"/>
  <c r="A28" i="99"/>
  <c r="F27" i="99"/>
  <c r="E27" i="99"/>
  <c r="C23" i="102"/>
  <c r="D23" i="102"/>
  <c r="B23" i="103"/>
  <c r="E23" i="103"/>
  <c r="G23" i="103"/>
  <c r="A24" i="103"/>
  <c r="F23" i="103"/>
  <c r="D24" i="101"/>
  <c r="C24" i="101"/>
  <c r="F23" i="104"/>
  <c r="E23" i="104"/>
  <c r="B23" i="104"/>
  <c r="A24" i="104"/>
  <c r="G23" i="104"/>
  <c r="E27" i="88"/>
  <c r="B27" i="88"/>
  <c r="A28" i="88"/>
  <c r="G27" i="88"/>
  <c r="F27" i="88"/>
  <c r="D26" i="98"/>
  <c r="C26" i="98"/>
  <c r="D26" i="99"/>
  <c r="C26" i="99"/>
  <c r="D22" i="104"/>
  <c r="C22" i="104"/>
  <c r="C25" i="100"/>
  <c r="D25" i="100"/>
  <c r="G27" i="98"/>
  <c r="F27" i="98"/>
  <c r="B27" i="98"/>
  <c r="E27" i="98"/>
  <c r="A28" i="98"/>
  <c r="B26" i="100"/>
  <c r="G26" i="100"/>
  <c r="E26" i="100"/>
  <c r="A27" i="100"/>
  <c r="F26" i="100"/>
  <c r="B11" i="75" l="1"/>
  <c r="F11" i="75" s="1"/>
  <c r="B10" i="75"/>
  <c r="C10" i="75" s="1"/>
  <c r="B12" i="75"/>
  <c r="F12" i="75" s="1"/>
  <c r="B8" i="75"/>
  <c r="H8" i="75" s="1"/>
  <c r="B7" i="75"/>
  <c r="C7" i="75" s="1"/>
  <c r="B9" i="75"/>
  <c r="E9" i="75" s="1"/>
  <c r="G24" i="103"/>
  <c r="A25" i="103"/>
  <c r="E24" i="103"/>
  <c r="F24" i="103"/>
  <c r="B24" i="103"/>
  <c r="B28" i="99"/>
  <c r="F28" i="99"/>
  <c r="E28" i="99"/>
  <c r="G28" i="99"/>
  <c r="A29" i="99"/>
  <c r="B29" i="96"/>
  <c r="E29" i="96"/>
  <c r="A30" i="96"/>
  <c r="G29" i="96"/>
  <c r="F29" i="96"/>
  <c r="G29" i="97"/>
  <c r="B29" i="97"/>
  <c r="A30" i="97"/>
  <c r="F29" i="97"/>
  <c r="E29" i="97"/>
  <c r="C27" i="88"/>
  <c r="D27" i="88"/>
  <c r="E29" i="95"/>
  <c r="F29" i="95"/>
  <c r="G29" i="95"/>
  <c r="B29" i="95"/>
  <c r="A30" i="95"/>
  <c r="D27" i="98"/>
  <c r="C27" i="98"/>
  <c r="G27" i="100"/>
  <c r="F27" i="100"/>
  <c r="B27" i="100"/>
  <c r="A28" i="100"/>
  <c r="E27" i="100"/>
  <c r="D23" i="104"/>
  <c r="C23" i="104"/>
  <c r="C27" i="99"/>
  <c r="D27" i="99"/>
  <c r="C24" i="102"/>
  <c r="D24" i="102"/>
  <c r="D28" i="96"/>
  <c r="C28" i="96"/>
  <c r="B28" i="98"/>
  <c r="G28" i="98"/>
  <c r="F28" i="98"/>
  <c r="E28" i="98"/>
  <c r="A29" i="98"/>
  <c r="E25" i="102"/>
  <c r="B25" i="102"/>
  <c r="F25" i="102"/>
  <c r="A26" i="102"/>
  <c r="G25" i="102"/>
  <c r="C23" i="103"/>
  <c r="D23" i="103"/>
  <c r="F26" i="101"/>
  <c r="B26" i="101"/>
  <c r="G26" i="101"/>
  <c r="A27" i="101"/>
  <c r="E26" i="101"/>
  <c r="C28" i="95"/>
  <c r="D28" i="95"/>
  <c r="F24" i="104"/>
  <c r="A25" i="104"/>
  <c r="E24" i="104"/>
  <c r="B24" i="104"/>
  <c r="G24" i="104"/>
  <c r="D26" i="100"/>
  <c r="C26" i="100"/>
  <c r="A29" i="88"/>
  <c r="F28" i="88"/>
  <c r="B28" i="88"/>
  <c r="E28" i="88"/>
  <c r="G28" i="88"/>
  <c r="D25" i="101"/>
  <c r="C25" i="101"/>
  <c r="D28" i="97"/>
  <c r="C28" i="97"/>
  <c r="G11" i="75" l="1"/>
  <c r="H11" i="75"/>
  <c r="D11" i="75"/>
  <c r="E11" i="75"/>
  <c r="L11" i="75"/>
  <c r="J11" i="75"/>
  <c r="K11" i="75"/>
  <c r="J10" i="75"/>
  <c r="I11" i="75"/>
  <c r="C11" i="75"/>
  <c r="L10" i="75"/>
  <c r="D10" i="75"/>
  <c r="K10" i="75"/>
  <c r="H9" i="75"/>
  <c r="L9" i="75"/>
  <c r="I7" i="75"/>
  <c r="H10" i="75"/>
  <c r="F9" i="75"/>
  <c r="F10" i="75"/>
  <c r="D7" i="75"/>
  <c r="D12" i="75"/>
  <c r="I12" i="75"/>
  <c r="G9" i="75"/>
  <c r="K9" i="75"/>
  <c r="I10" i="75"/>
  <c r="C12" i="75"/>
  <c r="I9" i="75"/>
  <c r="L12" i="75"/>
  <c r="J9" i="75"/>
  <c r="G10" i="75"/>
  <c r="E7" i="75"/>
  <c r="C8" i="75"/>
  <c r="G8" i="75"/>
  <c r="K12" i="75"/>
  <c r="D8" i="75"/>
  <c r="H12" i="75"/>
  <c r="C9" i="75"/>
  <c r="E10" i="75"/>
  <c r="E12" i="75"/>
  <c r="D9" i="75"/>
  <c r="J12" i="75"/>
  <c r="I8" i="75"/>
  <c r="L7" i="75"/>
  <c r="L8" i="75"/>
  <c r="J7" i="75"/>
  <c r="F7" i="75"/>
  <c r="G12" i="75"/>
  <c r="K8" i="75"/>
  <c r="H7" i="75"/>
  <c r="F8" i="75"/>
  <c r="K7" i="75"/>
  <c r="E8" i="75"/>
  <c r="G7" i="75"/>
  <c r="J8" i="75"/>
  <c r="D24" i="104"/>
  <c r="C24" i="104"/>
  <c r="C27" i="100"/>
  <c r="D27" i="100"/>
  <c r="C28" i="88"/>
  <c r="D28" i="88"/>
  <c r="B25" i="104"/>
  <c r="F25" i="104"/>
  <c r="G25" i="104"/>
  <c r="E25" i="104"/>
  <c r="A26" i="104"/>
  <c r="E29" i="98"/>
  <c r="B29" i="98"/>
  <c r="F29" i="98"/>
  <c r="A30" i="98"/>
  <c r="G29" i="98"/>
  <c r="C28" i="99"/>
  <c r="D28" i="99"/>
  <c r="C29" i="97"/>
  <c r="D29" i="97"/>
  <c r="C26" i="101"/>
  <c r="D26" i="101"/>
  <c r="A30" i="88"/>
  <c r="F29" i="88"/>
  <c r="B29" i="88"/>
  <c r="G29" i="88"/>
  <c r="E29" i="88"/>
  <c r="F30" i="96"/>
  <c r="G30" i="96"/>
  <c r="B30" i="96"/>
  <c r="A31" i="96"/>
  <c r="E30" i="96"/>
  <c r="D24" i="103"/>
  <c r="C24" i="103"/>
  <c r="D25" i="102"/>
  <c r="C25" i="102"/>
  <c r="B26" i="102"/>
  <c r="F26" i="102"/>
  <c r="E26" i="102"/>
  <c r="G26" i="102"/>
  <c r="A27" i="102"/>
  <c r="C28" i="98"/>
  <c r="D28" i="98"/>
  <c r="E30" i="95"/>
  <c r="G30" i="95"/>
  <c r="B30" i="95"/>
  <c r="A31" i="95"/>
  <c r="F30" i="95"/>
  <c r="C29" i="96"/>
  <c r="D29" i="96"/>
  <c r="E27" i="101"/>
  <c r="F27" i="101"/>
  <c r="G27" i="101"/>
  <c r="A28" i="101"/>
  <c r="B27" i="101"/>
  <c r="C29" i="95"/>
  <c r="D29" i="95"/>
  <c r="A31" i="97"/>
  <c r="B30" i="97"/>
  <c r="F30" i="97"/>
  <c r="E30" i="97"/>
  <c r="G30" i="97"/>
  <c r="B29" i="99"/>
  <c r="A30" i="99"/>
  <c r="F29" i="99"/>
  <c r="G29" i="99"/>
  <c r="E29" i="99"/>
  <c r="A26" i="103"/>
  <c r="F25" i="103"/>
  <c r="B25" i="103"/>
  <c r="E25" i="103"/>
  <c r="G25" i="103"/>
  <c r="F28" i="100"/>
  <c r="B28" i="100"/>
  <c r="G28" i="100"/>
  <c r="A29" i="100"/>
  <c r="E28" i="100"/>
  <c r="M10" i="75" l="1"/>
  <c r="O10" i="75" s="1"/>
  <c r="N11" i="75"/>
  <c r="M11" i="75"/>
  <c r="O11" i="75" s="1"/>
  <c r="N10" i="75"/>
  <c r="N9" i="75"/>
  <c r="M9" i="75"/>
  <c r="O9" i="75" s="1"/>
  <c r="N12" i="75"/>
  <c r="M12" i="75"/>
  <c r="O12" i="75" s="1"/>
  <c r="M7" i="75"/>
  <c r="M8" i="75"/>
  <c r="O8" i="75" s="1"/>
  <c r="N7" i="75"/>
  <c r="N8" i="75"/>
  <c r="E30" i="99"/>
  <c r="B30" i="99"/>
  <c r="A31" i="99"/>
  <c r="F30" i="99"/>
  <c r="G30" i="99"/>
  <c r="D29" i="99"/>
  <c r="C29" i="99"/>
  <c r="A32" i="95"/>
  <c r="E31" i="95"/>
  <c r="G31" i="95"/>
  <c r="F31" i="95"/>
  <c r="B31" i="95"/>
  <c r="E31" i="96"/>
  <c r="B31" i="96"/>
  <c r="A32" i="96"/>
  <c r="G31" i="96"/>
  <c r="F31" i="96"/>
  <c r="A31" i="88"/>
  <c r="G30" i="88"/>
  <c r="B30" i="88"/>
  <c r="F30" i="88"/>
  <c r="E30" i="88"/>
  <c r="F30" i="98"/>
  <c r="E30" i="98"/>
  <c r="B30" i="98"/>
  <c r="G30" i="98"/>
  <c r="A31" i="98"/>
  <c r="D25" i="104"/>
  <c r="C25" i="104"/>
  <c r="C27" i="101"/>
  <c r="D27" i="101"/>
  <c r="C25" i="103"/>
  <c r="D25" i="103"/>
  <c r="E28" i="101"/>
  <c r="A29" i="101"/>
  <c r="F28" i="101"/>
  <c r="B28" i="101"/>
  <c r="G28" i="101"/>
  <c r="D30" i="95"/>
  <c r="C30" i="95"/>
  <c r="D30" i="96"/>
  <c r="C30" i="96"/>
  <c r="C26" i="102"/>
  <c r="D26" i="102"/>
  <c r="D29" i="98"/>
  <c r="C29" i="98"/>
  <c r="A30" i="100"/>
  <c r="B29" i="100"/>
  <c r="G29" i="100"/>
  <c r="F29" i="100"/>
  <c r="E29" i="100"/>
  <c r="A27" i="103"/>
  <c r="B26" i="103"/>
  <c r="E26" i="103"/>
  <c r="F26" i="103"/>
  <c r="G26" i="103"/>
  <c r="C30" i="97"/>
  <c r="D30" i="97"/>
  <c r="B26" i="104"/>
  <c r="G26" i="104"/>
  <c r="A27" i="104"/>
  <c r="E26" i="104"/>
  <c r="F26" i="104"/>
  <c r="E31" i="97"/>
  <c r="B31" i="97"/>
  <c r="G31" i="97"/>
  <c r="F31" i="97"/>
  <c r="A32" i="97"/>
  <c r="C28" i="100"/>
  <c r="D28" i="100"/>
  <c r="G27" i="102"/>
  <c r="E27" i="102"/>
  <c r="A28" i="102"/>
  <c r="F27" i="102"/>
  <c r="B27" i="102"/>
  <c r="D29" i="88"/>
  <c r="C29" i="88"/>
  <c r="AB7" i="69" l="1"/>
  <c r="O7" i="75"/>
  <c r="AA7" i="69"/>
  <c r="B32" i="97"/>
  <c r="G32" i="97"/>
  <c r="A33" i="97"/>
  <c r="F32" i="97"/>
  <c r="E32" i="97"/>
  <c r="G28" i="102"/>
  <c r="B28" i="102"/>
  <c r="A29" i="102"/>
  <c r="F28" i="102"/>
  <c r="E28" i="102"/>
  <c r="A33" i="95"/>
  <c r="G32" i="95"/>
  <c r="B32" i="95"/>
  <c r="E32" i="95"/>
  <c r="F32" i="95"/>
  <c r="E30" i="100"/>
  <c r="B30" i="100"/>
  <c r="A31" i="100"/>
  <c r="G30" i="100"/>
  <c r="F30" i="100"/>
  <c r="G32" i="96"/>
  <c r="E32" i="96"/>
  <c r="F32" i="96"/>
  <c r="B32" i="96"/>
  <c r="A33" i="96"/>
  <c r="D31" i="97"/>
  <c r="C31" i="97"/>
  <c r="C31" i="96"/>
  <c r="D31" i="96"/>
  <c r="C27" i="102"/>
  <c r="D27" i="102"/>
  <c r="D30" i="98"/>
  <c r="C30" i="98"/>
  <c r="D29" i="100"/>
  <c r="C29" i="100"/>
  <c r="A28" i="104"/>
  <c r="G27" i="104"/>
  <c r="F27" i="104"/>
  <c r="E27" i="104"/>
  <c r="B27" i="104"/>
  <c r="C26" i="103"/>
  <c r="D26" i="103"/>
  <c r="C28" i="101"/>
  <c r="D28" i="101"/>
  <c r="F27" i="103"/>
  <c r="G27" i="103"/>
  <c r="B27" i="103"/>
  <c r="A28" i="103"/>
  <c r="E27" i="103"/>
  <c r="D30" i="88"/>
  <c r="C30" i="88"/>
  <c r="D31" i="95"/>
  <c r="C31" i="95"/>
  <c r="D26" i="104"/>
  <c r="C26" i="104"/>
  <c r="G29" i="101"/>
  <c r="B29" i="101"/>
  <c r="A30" i="101"/>
  <c r="F29" i="101"/>
  <c r="E29" i="101"/>
  <c r="B31" i="98"/>
  <c r="F31" i="98"/>
  <c r="E31" i="98"/>
  <c r="A32" i="98"/>
  <c r="G31" i="98"/>
  <c r="B31" i="99"/>
  <c r="E31" i="99"/>
  <c r="A32" i="99"/>
  <c r="F31" i="99"/>
  <c r="G31" i="99"/>
  <c r="B31" i="88"/>
  <c r="F31" i="88"/>
  <c r="A32" i="88"/>
  <c r="G31" i="88"/>
  <c r="E31" i="88"/>
  <c r="D30" i="99"/>
  <c r="C30" i="99"/>
  <c r="AC7" i="69" l="1"/>
  <c r="AD7" i="69" s="1"/>
  <c r="B8" i="77" s="1"/>
  <c r="N8" i="77" s="1"/>
  <c r="C31" i="88"/>
  <c r="D31" i="88"/>
  <c r="C27" i="103"/>
  <c r="D27" i="103"/>
  <c r="D28" i="102"/>
  <c r="C28" i="102"/>
  <c r="F28" i="103"/>
  <c r="A29" i="103"/>
  <c r="B28" i="103"/>
  <c r="G28" i="103"/>
  <c r="E28" i="103"/>
  <c r="C32" i="96"/>
  <c r="D32" i="96"/>
  <c r="C27" i="104"/>
  <c r="D27" i="104"/>
  <c r="A33" i="98"/>
  <c r="F32" i="98"/>
  <c r="E32" i="98"/>
  <c r="B32" i="98"/>
  <c r="G32" i="98"/>
  <c r="B29" i="102"/>
  <c r="G29" i="102"/>
  <c r="F29" i="102"/>
  <c r="A30" i="102"/>
  <c r="E29" i="102"/>
  <c r="G33" i="95"/>
  <c r="A34" i="95"/>
  <c r="F33" i="95"/>
  <c r="E33" i="95"/>
  <c r="B33" i="95"/>
  <c r="A34" i="97"/>
  <c r="E33" i="97"/>
  <c r="F33" i="97"/>
  <c r="B33" i="97"/>
  <c r="G33" i="97"/>
  <c r="D31" i="98"/>
  <c r="C31" i="98"/>
  <c r="D31" i="99"/>
  <c r="C31" i="99"/>
  <c r="F30" i="101"/>
  <c r="E30" i="101"/>
  <c r="A31" i="101"/>
  <c r="B30" i="101"/>
  <c r="G30" i="101"/>
  <c r="G31" i="100"/>
  <c r="A32" i="100"/>
  <c r="F31" i="100"/>
  <c r="B31" i="100"/>
  <c r="E31" i="100"/>
  <c r="C32" i="95"/>
  <c r="D32" i="95"/>
  <c r="E32" i="99"/>
  <c r="A33" i="99"/>
  <c r="B32" i="99"/>
  <c r="F32" i="99"/>
  <c r="G32" i="99"/>
  <c r="G28" i="104"/>
  <c r="E28" i="104"/>
  <c r="F28" i="104"/>
  <c r="B28" i="104"/>
  <c r="A29" i="104"/>
  <c r="A33" i="88"/>
  <c r="G32" i="88"/>
  <c r="F32" i="88"/>
  <c r="B32" i="88"/>
  <c r="E32" i="88"/>
  <c r="C29" i="101"/>
  <c r="D29" i="101"/>
  <c r="A34" i="96"/>
  <c r="B33" i="96"/>
  <c r="G33" i="96"/>
  <c r="E33" i="96"/>
  <c r="F33" i="96"/>
  <c r="D30" i="100"/>
  <c r="C30" i="100"/>
  <c r="D32" i="97"/>
  <c r="C32" i="97"/>
  <c r="B10" i="77" l="1"/>
  <c r="L10" i="77" s="1"/>
  <c r="B11" i="77"/>
  <c r="M11" i="77" s="1"/>
  <c r="B7" i="77"/>
  <c r="C7" i="77" s="1"/>
  <c r="B12" i="77"/>
  <c r="H12" i="77" s="1"/>
  <c r="B9" i="77"/>
  <c r="J9" i="77" s="1"/>
  <c r="L8" i="77"/>
  <c r="J8" i="77"/>
  <c r="F8" i="77"/>
  <c r="C8" i="77"/>
  <c r="K8" i="77"/>
  <c r="I8" i="77"/>
  <c r="E8" i="77"/>
  <c r="M8" i="77"/>
  <c r="H8" i="77"/>
  <c r="G8" i="77"/>
  <c r="D8" i="77"/>
  <c r="D31" i="100"/>
  <c r="C31" i="100"/>
  <c r="G33" i="98"/>
  <c r="F33" i="98"/>
  <c r="B33" i="98"/>
  <c r="E33" i="98"/>
  <c r="A34" i="98"/>
  <c r="E29" i="103"/>
  <c r="B29" i="103"/>
  <c r="G29" i="103"/>
  <c r="F29" i="103"/>
  <c r="A30" i="103"/>
  <c r="A35" i="97"/>
  <c r="G34" i="97"/>
  <c r="F34" i="97"/>
  <c r="E34" i="97"/>
  <c r="B34" i="97"/>
  <c r="D32" i="99"/>
  <c r="C32" i="99"/>
  <c r="F32" i="100"/>
  <c r="B32" i="100"/>
  <c r="A33" i="100"/>
  <c r="G32" i="100"/>
  <c r="E32" i="100"/>
  <c r="D33" i="95"/>
  <c r="C33" i="95"/>
  <c r="D33" i="96"/>
  <c r="C33" i="96"/>
  <c r="A34" i="99"/>
  <c r="E33" i="99"/>
  <c r="B33" i="99"/>
  <c r="G33" i="99"/>
  <c r="F33" i="99"/>
  <c r="D29" i="102"/>
  <c r="C29" i="102"/>
  <c r="F31" i="101"/>
  <c r="E31" i="101"/>
  <c r="B31" i="101"/>
  <c r="G31" i="101"/>
  <c r="A32" i="101"/>
  <c r="G33" i="88"/>
  <c r="B33" i="88"/>
  <c r="A34" i="88"/>
  <c r="E33" i="88"/>
  <c r="F33" i="88"/>
  <c r="B34" i="96"/>
  <c r="E34" i="96"/>
  <c r="F34" i="96"/>
  <c r="A35" i="96"/>
  <c r="G34" i="96"/>
  <c r="D28" i="104"/>
  <c r="C28" i="104"/>
  <c r="G30" i="102"/>
  <c r="E30" i="102"/>
  <c r="A31" i="102"/>
  <c r="B30" i="102"/>
  <c r="F30" i="102"/>
  <c r="G29" i="104"/>
  <c r="F29" i="104"/>
  <c r="B29" i="104"/>
  <c r="E29" i="104"/>
  <c r="A30" i="104"/>
  <c r="D30" i="101"/>
  <c r="C30" i="101"/>
  <c r="E34" i="95"/>
  <c r="F34" i="95"/>
  <c r="B34" i="95"/>
  <c r="G34" i="95"/>
  <c r="A35" i="95"/>
  <c r="D32" i="98"/>
  <c r="C32" i="98"/>
  <c r="C33" i="97"/>
  <c r="D33" i="97"/>
  <c r="D32" i="88"/>
  <c r="C32" i="88"/>
  <c r="C28" i="103"/>
  <c r="D28" i="103"/>
  <c r="J10" i="77" l="1"/>
  <c r="G10" i="77"/>
  <c r="C10" i="77"/>
  <c r="M10" i="77"/>
  <c r="N10" i="77"/>
  <c r="E10" i="77"/>
  <c r="F10" i="77"/>
  <c r="I10" i="77"/>
  <c r="H10" i="77"/>
  <c r="K10" i="77"/>
  <c r="D10" i="77"/>
  <c r="I11" i="77"/>
  <c r="I7" i="77"/>
  <c r="K11" i="77"/>
  <c r="E11" i="77"/>
  <c r="F9" i="77"/>
  <c r="D11" i="77"/>
  <c r="H11" i="77"/>
  <c r="G7" i="77"/>
  <c r="C12" i="77"/>
  <c r="F12" i="77"/>
  <c r="C11" i="77"/>
  <c r="F7" i="77"/>
  <c r="L12" i="77"/>
  <c r="N12" i="77"/>
  <c r="I12" i="77"/>
  <c r="K7" i="77"/>
  <c r="H7" i="77"/>
  <c r="D12" i="77"/>
  <c r="E7" i="77"/>
  <c r="J11" i="77"/>
  <c r="N7" i="77"/>
  <c r="E9" i="77"/>
  <c r="L7" i="77"/>
  <c r="F11" i="77"/>
  <c r="J7" i="77"/>
  <c r="L11" i="77"/>
  <c r="M7" i="77"/>
  <c r="G11" i="77"/>
  <c r="N11" i="77"/>
  <c r="D7" i="77"/>
  <c r="N9" i="77"/>
  <c r="G12" i="77"/>
  <c r="E12" i="77"/>
  <c r="C9" i="77"/>
  <c r="M9" i="77"/>
  <c r="H9" i="77"/>
  <c r="D9" i="77"/>
  <c r="J12" i="77"/>
  <c r="M12" i="77"/>
  <c r="K9" i="77"/>
  <c r="K12" i="77"/>
  <c r="L9" i="77"/>
  <c r="I9" i="77"/>
  <c r="G9" i="77"/>
  <c r="P8" i="77"/>
  <c r="O8" i="77"/>
  <c r="Q8" i="77" s="1"/>
  <c r="D30" i="102"/>
  <c r="C30" i="102"/>
  <c r="E31" i="102"/>
  <c r="F31" i="102"/>
  <c r="B31" i="102"/>
  <c r="G31" i="102"/>
  <c r="A32" i="102"/>
  <c r="C33" i="99"/>
  <c r="D33" i="99"/>
  <c r="B34" i="98"/>
  <c r="G34" i="98"/>
  <c r="A35" i="98"/>
  <c r="E34" i="98"/>
  <c r="F34" i="98"/>
  <c r="A31" i="104"/>
  <c r="B30" i="104"/>
  <c r="F30" i="104"/>
  <c r="E30" i="104"/>
  <c r="G30" i="104"/>
  <c r="D34" i="96"/>
  <c r="C34" i="96"/>
  <c r="C31" i="101"/>
  <c r="D31" i="101"/>
  <c r="F33" i="100"/>
  <c r="G33" i="100"/>
  <c r="A34" i="100"/>
  <c r="E33" i="100"/>
  <c r="B33" i="100"/>
  <c r="E32" i="101"/>
  <c r="A33" i="101"/>
  <c r="B32" i="101"/>
  <c r="G32" i="101"/>
  <c r="F32" i="101"/>
  <c r="G35" i="95"/>
  <c r="F35" i="95"/>
  <c r="A36" i="95"/>
  <c r="B35" i="95"/>
  <c r="E35" i="95"/>
  <c r="F34" i="99"/>
  <c r="B34" i="99"/>
  <c r="A35" i="99"/>
  <c r="G34" i="99"/>
  <c r="E34" i="99"/>
  <c r="D32" i="100"/>
  <c r="C32" i="100"/>
  <c r="E35" i="97"/>
  <c r="B35" i="97"/>
  <c r="G35" i="97"/>
  <c r="A36" i="97"/>
  <c r="F35" i="97"/>
  <c r="D33" i="98"/>
  <c r="C33" i="98"/>
  <c r="E30" i="103"/>
  <c r="A31" i="103"/>
  <c r="B30" i="103"/>
  <c r="G30" i="103"/>
  <c r="F30" i="103"/>
  <c r="D34" i="95"/>
  <c r="C34" i="95"/>
  <c r="E34" i="88"/>
  <c r="B34" i="88"/>
  <c r="A35" i="88"/>
  <c r="F34" i="88"/>
  <c r="G34" i="88"/>
  <c r="C29" i="104"/>
  <c r="D29" i="104"/>
  <c r="D33" i="88"/>
  <c r="C33" i="88"/>
  <c r="B35" i="96"/>
  <c r="E35" i="96"/>
  <c r="A36" i="96"/>
  <c r="G35" i="96"/>
  <c r="F35" i="96"/>
  <c r="D34" i="97"/>
  <c r="C34" i="97"/>
  <c r="D29" i="103"/>
  <c r="C29" i="103"/>
  <c r="O10" i="77" l="1"/>
  <c r="Q10" i="77" s="1"/>
  <c r="P10" i="77"/>
  <c r="P12" i="77"/>
  <c r="P7" i="77"/>
  <c r="O7" i="77"/>
  <c r="Q7" i="77" s="1"/>
  <c r="O11" i="77"/>
  <c r="Q11" i="77" s="1"/>
  <c r="P11" i="77"/>
  <c r="P9" i="77"/>
  <c r="O9" i="77"/>
  <c r="Q9" i="77" s="1"/>
  <c r="O12" i="77"/>
  <c r="Q12" i="77" s="1"/>
  <c r="A37" i="97"/>
  <c r="F36" i="97"/>
  <c r="G36" i="97"/>
  <c r="E36" i="97"/>
  <c r="B36" i="97"/>
  <c r="E36" i="96"/>
  <c r="B36" i="96"/>
  <c r="F36" i="96"/>
  <c r="G36" i="96"/>
  <c r="A37" i="96"/>
  <c r="C30" i="103"/>
  <c r="D30" i="103"/>
  <c r="D35" i="97"/>
  <c r="C35" i="97"/>
  <c r="D32" i="101"/>
  <c r="C32" i="101"/>
  <c r="B31" i="104"/>
  <c r="G31" i="104"/>
  <c r="F31" i="104"/>
  <c r="E31" i="104"/>
  <c r="A32" i="104"/>
  <c r="F32" i="102"/>
  <c r="A33" i="102"/>
  <c r="E32" i="102"/>
  <c r="G32" i="102"/>
  <c r="B32" i="102"/>
  <c r="C30" i="104"/>
  <c r="D30" i="104"/>
  <c r="B35" i="88"/>
  <c r="F35" i="88"/>
  <c r="E35" i="88"/>
  <c r="A36" i="88"/>
  <c r="G35" i="88"/>
  <c r="A32" i="103"/>
  <c r="G31" i="103"/>
  <c r="B31" i="103"/>
  <c r="F31" i="103"/>
  <c r="E31" i="103"/>
  <c r="B33" i="101"/>
  <c r="A34" i="101"/>
  <c r="G33" i="101"/>
  <c r="E33" i="101"/>
  <c r="F33" i="101"/>
  <c r="E35" i="99"/>
  <c r="A36" i="99"/>
  <c r="G35" i="99"/>
  <c r="B35" i="99"/>
  <c r="F35" i="99"/>
  <c r="C34" i="99"/>
  <c r="D34" i="99"/>
  <c r="C35" i="96"/>
  <c r="D35" i="96"/>
  <c r="D34" i="88"/>
  <c r="C34" i="88"/>
  <c r="C35" i="95"/>
  <c r="D35" i="95"/>
  <c r="D31" i="102"/>
  <c r="C31" i="102"/>
  <c r="B36" i="95"/>
  <c r="F36" i="95"/>
  <c r="E36" i="95"/>
  <c r="A37" i="95"/>
  <c r="G36" i="95"/>
  <c r="D33" i="100"/>
  <c r="C33" i="100"/>
  <c r="F35" i="98"/>
  <c r="E35" i="98"/>
  <c r="B35" i="98"/>
  <c r="A36" i="98"/>
  <c r="G35" i="98"/>
  <c r="B34" i="100"/>
  <c r="F34" i="100"/>
  <c r="G34" i="100"/>
  <c r="A35" i="100"/>
  <c r="E34" i="100"/>
  <c r="C34" i="98"/>
  <c r="D34" i="98"/>
  <c r="E34" i="101" l="1"/>
  <c r="A35" i="101"/>
  <c r="F34" i="101"/>
  <c r="G34" i="101"/>
  <c r="B34" i="101"/>
  <c r="D33" i="101"/>
  <c r="C33" i="101"/>
  <c r="B33" i="102"/>
  <c r="G33" i="102"/>
  <c r="A34" i="102"/>
  <c r="F33" i="102"/>
  <c r="E33" i="102"/>
  <c r="D36" i="96"/>
  <c r="C36" i="96"/>
  <c r="B37" i="95"/>
  <c r="G37" i="95"/>
  <c r="F37" i="95"/>
  <c r="A38" i="95"/>
  <c r="E37" i="95"/>
  <c r="G36" i="98"/>
  <c r="B36" i="98"/>
  <c r="F36" i="98"/>
  <c r="E36" i="98"/>
  <c r="A37" i="98"/>
  <c r="G36" i="99"/>
  <c r="F36" i="99"/>
  <c r="E36" i="99"/>
  <c r="A37" i="99"/>
  <c r="B36" i="99"/>
  <c r="C35" i="88"/>
  <c r="D35" i="88"/>
  <c r="A33" i="104"/>
  <c r="F32" i="104"/>
  <c r="E32" i="104"/>
  <c r="B32" i="104"/>
  <c r="G32" i="104"/>
  <c r="C36" i="97"/>
  <c r="D36" i="97"/>
  <c r="E36" i="88"/>
  <c r="F36" i="88"/>
  <c r="G36" i="88"/>
  <c r="B36" i="88"/>
  <c r="A37" i="88"/>
  <c r="D34" i="100"/>
  <c r="C34" i="100"/>
  <c r="D35" i="99"/>
  <c r="C35" i="99"/>
  <c r="C35" i="98"/>
  <c r="D35" i="98"/>
  <c r="C31" i="103"/>
  <c r="D31" i="103"/>
  <c r="C36" i="95"/>
  <c r="D36" i="95"/>
  <c r="E35" i="100"/>
  <c r="F35" i="100"/>
  <c r="A36" i="100"/>
  <c r="G35" i="100"/>
  <c r="B35" i="100"/>
  <c r="F32" i="103"/>
  <c r="G32" i="103"/>
  <c r="A33" i="103"/>
  <c r="B32" i="103"/>
  <c r="E32" i="103"/>
  <c r="C32" i="102"/>
  <c r="D32" i="102"/>
  <c r="G37" i="96"/>
  <c r="E37" i="96"/>
  <c r="F37" i="96"/>
  <c r="B37" i="96"/>
  <c r="A38" i="96"/>
  <c r="D31" i="104"/>
  <c r="C31" i="104"/>
  <c r="G37" i="97"/>
  <c r="F37" i="97"/>
  <c r="E37" i="97"/>
  <c r="A38" i="97"/>
  <c r="B37" i="97"/>
  <c r="D37" i="95" l="1"/>
  <c r="C37" i="95"/>
  <c r="F36" i="100"/>
  <c r="A37" i="100"/>
  <c r="E36" i="100"/>
  <c r="B36" i="100"/>
  <c r="G36" i="100"/>
  <c r="G33" i="104"/>
  <c r="F33" i="104"/>
  <c r="A34" i="104"/>
  <c r="B33" i="104"/>
  <c r="E33" i="104"/>
  <c r="F37" i="98"/>
  <c r="E37" i="98"/>
  <c r="B37" i="98"/>
  <c r="G37" i="98"/>
  <c r="A38" i="98"/>
  <c r="C33" i="102"/>
  <c r="D33" i="102"/>
  <c r="G38" i="96"/>
  <c r="A39" i="96"/>
  <c r="F38" i="96"/>
  <c r="B38" i="96"/>
  <c r="E38" i="96"/>
  <c r="D32" i="103"/>
  <c r="C32" i="103"/>
  <c r="D36" i="98"/>
  <c r="C36" i="98"/>
  <c r="D34" i="101"/>
  <c r="C34" i="101"/>
  <c r="C37" i="97"/>
  <c r="D37" i="97"/>
  <c r="D37" i="96"/>
  <c r="C37" i="96"/>
  <c r="D36" i="99"/>
  <c r="C36" i="99"/>
  <c r="B38" i="97"/>
  <c r="F38" i="97"/>
  <c r="G38" i="97"/>
  <c r="A39" i="97"/>
  <c r="E38" i="97"/>
  <c r="G37" i="99"/>
  <c r="A38" i="99"/>
  <c r="B37" i="99"/>
  <c r="E37" i="99"/>
  <c r="F37" i="99"/>
  <c r="F37" i="88"/>
  <c r="A38" i="88"/>
  <c r="B37" i="88"/>
  <c r="E37" i="88"/>
  <c r="G37" i="88"/>
  <c r="C32" i="104"/>
  <c r="D32" i="104"/>
  <c r="G33" i="103"/>
  <c r="A34" i="103"/>
  <c r="B33" i="103"/>
  <c r="E33" i="103"/>
  <c r="F33" i="103"/>
  <c r="C35" i="100"/>
  <c r="D35" i="100"/>
  <c r="C36" i="88"/>
  <c r="D36" i="88"/>
  <c r="B38" i="95"/>
  <c r="G38" i="95"/>
  <c r="F38" i="95"/>
  <c r="E38" i="95"/>
  <c r="A39" i="95"/>
  <c r="E34" i="102"/>
  <c r="G34" i="102"/>
  <c r="F34" i="102"/>
  <c r="A35" i="102"/>
  <c r="B34" i="102"/>
  <c r="B35" i="101"/>
  <c r="F35" i="101"/>
  <c r="E35" i="101"/>
  <c r="G35" i="101"/>
  <c r="A36" i="101"/>
  <c r="B38" i="88" l="1"/>
  <c r="F38" i="88"/>
  <c r="A39" i="88"/>
  <c r="E38" i="88"/>
  <c r="G38" i="88"/>
  <c r="G35" i="102"/>
  <c r="F35" i="102"/>
  <c r="A36" i="102"/>
  <c r="B35" i="102"/>
  <c r="E35" i="102"/>
  <c r="F34" i="103"/>
  <c r="A35" i="103"/>
  <c r="B34" i="103"/>
  <c r="E34" i="103"/>
  <c r="G34" i="103"/>
  <c r="D38" i="96"/>
  <c r="C38" i="96"/>
  <c r="C37" i="98"/>
  <c r="D37" i="98"/>
  <c r="D38" i="95"/>
  <c r="C38" i="95"/>
  <c r="D36" i="100"/>
  <c r="C36" i="100"/>
  <c r="A40" i="97"/>
  <c r="G39" i="97"/>
  <c r="F39" i="97"/>
  <c r="E39" i="97"/>
  <c r="B39" i="97"/>
  <c r="A37" i="101"/>
  <c r="G36" i="101"/>
  <c r="B36" i="101"/>
  <c r="F36" i="101"/>
  <c r="E36" i="101"/>
  <c r="C38" i="97"/>
  <c r="D38" i="97"/>
  <c r="G39" i="96"/>
  <c r="F39" i="96"/>
  <c r="B39" i="96"/>
  <c r="A40" i="96"/>
  <c r="E39" i="96"/>
  <c r="A38" i="100"/>
  <c r="F37" i="100"/>
  <c r="G37" i="100"/>
  <c r="B37" i="100"/>
  <c r="E37" i="100"/>
  <c r="D33" i="103"/>
  <c r="C33" i="103"/>
  <c r="G38" i="99"/>
  <c r="B38" i="99"/>
  <c r="A39" i="99"/>
  <c r="F38" i="99"/>
  <c r="E38" i="99"/>
  <c r="D33" i="104"/>
  <c r="C33" i="104"/>
  <c r="D37" i="99"/>
  <c r="C37" i="99"/>
  <c r="F39" i="95"/>
  <c r="B39" i="95"/>
  <c r="E39" i="95"/>
  <c r="A40" i="95"/>
  <c r="G39" i="95"/>
  <c r="F34" i="104"/>
  <c r="B34" i="104"/>
  <c r="E34" i="104"/>
  <c r="G34" i="104"/>
  <c r="A35" i="104"/>
  <c r="C34" i="102"/>
  <c r="D34" i="102"/>
  <c r="C35" i="101"/>
  <c r="D35" i="101"/>
  <c r="C37" i="88"/>
  <c r="D37" i="88"/>
  <c r="B38" i="98"/>
  <c r="E38" i="98"/>
  <c r="A39" i="98"/>
  <c r="G38" i="98"/>
  <c r="F38" i="98"/>
  <c r="A41" i="97" l="1"/>
  <c r="E40" i="97"/>
  <c r="B40" i="97"/>
  <c r="F40" i="97"/>
  <c r="G40" i="97"/>
  <c r="D34" i="104"/>
  <c r="C34" i="104"/>
  <c r="F40" i="96"/>
  <c r="A41" i="96"/>
  <c r="B40" i="96"/>
  <c r="E40" i="96"/>
  <c r="G40" i="96"/>
  <c r="D36" i="101"/>
  <c r="C36" i="101"/>
  <c r="A37" i="102"/>
  <c r="E36" i="102"/>
  <c r="F36" i="102"/>
  <c r="B36" i="102"/>
  <c r="G36" i="102"/>
  <c r="D39" i="96"/>
  <c r="C39" i="96"/>
  <c r="F37" i="101"/>
  <c r="E37" i="101"/>
  <c r="G37" i="101"/>
  <c r="A38" i="101"/>
  <c r="B37" i="101"/>
  <c r="C34" i="103"/>
  <c r="D34" i="103"/>
  <c r="A41" i="95"/>
  <c r="B40" i="95"/>
  <c r="F40" i="95"/>
  <c r="G40" i="95"/>
  <c r="E40" i="95"/>
  <c r="D37" i="100"/>
  <c r="C37" i="100"/>
  <c r="D39" i="97"/>
  <c r="C39" i="97"/>
  <c r="E35" i="103"/>
  <c r="B35" i="103"/>
  <c r="G35" i="103"/>
  <c r="F35" i="103"/>
  <c r="A36" i="103"/>
  <c r="A40" i="98"/>
  <c r="B39" i="98"/>
  <c r="F39" i="98"/>
  <c r="E39" i="98"/>
  <c r="G39" i="98"/>
  <c r="F39" i="88"/>
  <c r="E39" i="88"/>
  <c r="B39" i="88"/>
  <c r="A40" i="88"/>
  <c r="G39" i="88"/>
  <c r="F35" i="104"/>
  <c r="G35" i="104"/>
  <c r="A36" i="104"/>
  <c r="E35" i="104"/>
  <c r="B35" i="104"/>
  <c r="D39" i="95"/>
  <c r="C39" i="95"/>
  <c r="E39" i="99"/>
  <c r="A40" i="99"/>
  <c r="G39" i="99"/>
  <c r="F39" i="99"/>
  <c r="B39" i="99"/>
  <c r="C38" i="98"/>
  <c r="D38" i="98"/>
  <c r="D38" i="99"/>
  <c r="C38" i="99"/>
  <c r="E38" i="100"/>
  <c r="B38" i="100"/>
  <c r="F38" i="100"/>
  <c r="G38" i="100"/>
  <c r="A39" i="100"/>
  <c r="D35" i="102"/>
  <c r="C35" i="102"/>
  <c r="C38" i="88"/>
  <c r="D38" i="88"/>
  <c r="B36" i="104" l="1"/>
  <c r="A37" i="104"/>
  <c r="F36" i="104"/>
  <c r="G36" i="104"/>
  <c r="E36" i="104"/>
  <c r="C35" i="103"/>
  <c r="D35" i="103"/>
  <c r="F37" i="102"/>
  <c r="B37" i="102"/>
  <c r="A38" i="102"/>
  <c r="G37" i="102"/>
  <c r="E37" i="102"/>
  <c r="D38" i="100"/>
  <c r="C38" i="100"/>
  <c r="C40" i="95"/>
  <c r="D40" i="95"/>
  <c r="A41" i="99"/>
  <c r="G40" i="99"/>
  <c r="E40" i="99"/>
  <c r="F40" i="99"/>
  <c r="B40" i="99"/>
  <c r="E41" i="95"/>
  <c r="B41" i="95"/>
  <c r="G41" i="95"/>
  <c r="A42" i="95"/>
  <c r="F41" i="95"/>
  <c r="D39" i="98"/>
  <c r="C39" i="98"/>
  <c r="E40" i="88"/>
  <c r="B40" i="88"/>
  <c r="A41" i="88"/>
  <c r="F40" i="88"/>
  <c r="G40" i="88"/>
  <c r="E40" i="98"/>
  <c r="A41" i="98"/>
  <c r="G40" i="98"/>
  <c r="B40" i="98"/>
  <c r="F40" i="98"/>
  <c r="D40" i="97"/>
  <c r="C40" i="97"/>
  <c r="C39" i="99"/>
  <c r="D39" i="99"/>
  <c r="C39" i="88"/>
  <c r="D39" i="88"/>
  <c r="E36" i="103"/>
  <c r="A37" i="103"/>
  <c r="F36" i="103"/>
  <c r="G36" i="103"/>
  <c r="B36" i="103"/>
  <c r="D37" i="101"/>
  <c r="C37" i="101"/>
  <c r="C36" i="102"/>
  <c r="D36" i="102"/>
  <c r="D40" i="96"/>
  <c r="C40" i="96"/>
  <c r="G39" i="100"/>
  <c r="B39" i="100"/>
  <c r="E39" i="100"/>
  <c r="F39" i="100"/>
  <c r="A40" i="100"/>
  <c r="C35" i="104"/>
  <c r="D35" i="104"/>
  <c r="A39" i="101"/>
  <c r="G38" i="101"/>
  <c r="E38" i="101"/>
  <c r="B38" i="101"/>
  <c r="F38" i="101"/>
  <c r="G41" i="96"/>
  <c r="A42" i="96"/>
  <c r="E41" i="96"/>
  <c r="B41" i="96"/>
  <c r="F41" i="96"/>
  <c r="G41" i="97"/>
  <c r="B41" i="97"/>
  <c r="F41" i="97"/>
  <c r="A42" i="97"/>
  <c r="E41" i="97"/>
  <c r="C41" i="97" l="1"/>
  <c r="D41" i="97"/>
  <c r="C41" i="96"/>
  <c r="D41" i="96"/>
  <c r="G39" i="101"/>
  <c r="E39" i="101"/>
  <c r="F39" i="101"/>
  <c r="B39" i="101"/>
  <c r="A40" i="101"/>
  <c r="A42" i="88"/>
  <c r="E41" i="88"/>
  <c r="B41" i="88"/>
  <c r="F41" i="88"/>
  <c r="G41" i="88"/>
  <c r="C41" i="95"/>
  <c r="D41" i="95"/>
  <c r="D38" i="101"/>
  <c r="C38" i="101"/>
  <c r="D40" i="88"/>
  <c r="C40" i="88"/>
  <c r="D40" i="98"/>
  <c r="C40" i="98"/>
  <c r="D40" i="99"/>
  <c r="C40" i="99"/>
  <c r="B42" i="96"/>
  <c r="G42" i="96"/>
  <c r="F42" i="96"/>
  <c r="E42" i="96"/>
  <c r="A43" i="96"/>
  <c r="E42" i="97"/>
  <c r="B42" i="97"/>
  <c r="G42" i="97"/>
  <c r="F42" i="97"/>
  <c r="A43" i="97"/>
  <c r="E40" i="100"/>
  <c r="F40" i="100"/>
  <c r="A41" i="100"/>
  <c r="B40" i="100"/>
  <c r="G40" i="100"/>
  <c r="E37" i="103"/>
  <c r="B37" i="103"/>
  <c r="A38" i="103"/>
  <c r="G37" i="103"/>
  <c r="F37" i="103"/>
  <c r="B41" i="98"/>
  <c r="F41" i="98"/>
  <c r="E41" i="98"/>
  <c r="G41" i="98"/>
  <c r="A42" i="98"/>
  <c r="B38" i="102"/>
  <c r="G38" i="102"/>
  <c r="A39" i="102"/>
  <c r="E38" i="102"/>
  <c r="F38" i="102"/>
  <c r="F37" i="104"/>
  <c r="G37" i="104"/>
  <c r="A38" i="104"/>
  <c r="B37" i="104"/>
  <c r="E37" i="104"/>
  <c r="D39" i="100"/>
  <c r="C39" i="100"/>
  <c r="C36" i="103"/>
  <c r="D36" i="103"/>
  <c r="A43" i="95"/>
  <c r="B42" i="95"/>
  <c r="G42" i="95"/>
  <c r="F42" i="95"/>
  <c r="E42" i="95"/>
  <c r="A42" i="99"/>
  <c r="E41" i="99"/>
  <c r="B41" i="99"/>
  <c r="F41" i="99"/>
  <c r="G41" i="99"/>
  <c r="D37" i="102"/>
  <c r="C37" i="102"/>
  <c r="D36" i="104"/>
  <c r="C36" i="104"/>
  <c r="C42" i="97" l="1"/>
  <c r="D42" i="97"/>
  <c r="C40" i="100"/>
  <c r="D40" i="100"/>
  <c r="B42" i="99"/>
  <c r="G42" i="99"/>
  <c r="A43" i="99"/>
  <c r="F42" i="99"/>
  <c r="E42" i="99"/>
  <c r="D41" i="98"/>
  <c r="C41" i="98"/>
  <c r="E41" i="100"/>
  <c r="F41" i="100"/>
  <c r="B41" i="100"/>
  <c r="G41" i="100"/>
  <c r="A42" i="100"/>
  <c r="G43" i="96"/>
  <c r="E43" i="96"/>
  <c r="B43" i="96"/>
  <c r="F43" i="96"/>
  <c r="A44" i="96"/>
  <c r="C41" i="88"/>
  <c r="D41" i="88"/>
  <c r="A44" i="95"/>
  <c r="E43" i="95"/>
  <c r="F43" i="95"/>
  <c r="G43" i="95"/>
  <c r="B43" i="95"/>
  <c r="C39" i="101"/>
  <c r="D39" i="101"/>
  <c r="D41" i="99"/>
  <c r="C41" i="99"/>
  <c r="G39" i="102"/>
  <c r="F39" i="102"/>
  <c r="B39" i="102"/>
  <c r="E39" i="102"/>
  <c r="A40" i="102"/>
  <c r="C37" i="104"/>
  <c r="D37" i="104"/>
  <c r="D38" i="102"/>
  <c r="C38" i="102"/>
  <c r="B38" i="103"/>
  <c r="A39" i="103"/>
  <c r="E38" i="103"/>
  <c r="G38" i="103"/>
  <c r="F38" i="103"/>
  <c r="F43" i="97"/>
  <c r="G43" i="97"/>
  <c r="B43" i="97"/>
  <c r="E43" i="97"/>
  <c r="A44" i="97"/>
  <c r="E42" i="88"/>
  <c r="F42" i="88"/>
  <c r="G42" i="88"/>
  <c r="B42" i="88"/>
  <c r="A43" i="88"/>
  <c r="D42" i="95"/>
  <c r="C42" i="95"/>
  <c r="A39" i="104"/>
  <c r="G38" i="104"/>
  <c r="E38" i="104"/>
  <c r="B38" i="104"/>
  <c r="F38" i="104"/>
  <c r="G42" i="98"/>
  <c r="E42" i="98"/>
  <c r="A43" i="98"/>
  <c r="F42" i="98"/>
  <c r="B42" i="98"/>
  <c r="C37" i="103"/>
  <c r="D37" i="103"/>
  <c r="C42" i="96"/>
  <c r="D42" i="96"/>
  <c r="G40" i="101"/>
  <c r="E40" i="101"/>
  <c r="A41" i="101"/>
  <c r="F40" i="101"/>
  <c r="B40" i="101"/>
  <c r="F43" i="99" l="1"/>
  <c r="G43" i="99"/>
  <c r="A44" i="99"/>
  <c r="B43" i="99"/>
  <c r="E43" i="99"/>
  <c r="G42" i="100"/>
  <c r="B42" i="100"/>
  <c r="A43" i="100"/>
  <c r="E42" i="100"/>
  <c r="F42" i="100"/>
  <c r="D42" i="88"/>
  <c r="C42" i="88"/>
  <c r="D38" i="104"/>
  <c r="C38" i="104"/>
  <c r="C41" i="100"/>
  <c r="D41" i="100"/>
  <c r="E44" i="95"/>
  <c r="B44" i="95"/>
  <c r="G44" i="95"/>
  <c r="A45" i="95"/>
  <c r="F44" i="95"/>
  <c r="C40" i="101"/>
  <c r="D40" i="101"/>
  <c r="F40" i="102"/>
  <c r="A41" i="102"/>
  <c r="G40" i="102"/>
  <c r="B40" i="102"/>
  <c r="E40" i="102"/>
  <c r="E44" i="96"/>
  <c r="A45" i="96"/>
  <c r="G44" i="96"/>
  <c r="B44" i="96"/>
  <c r="F44" i="96"/>
  <c r="C42" i="99"/>
  <c r="D42" i="99"/>
  <c r="C43" i="95"/>
  <c r="D43" i="95"/>
  <c r="D42" i="98"/>
  <c r="C42" i="98"/>
  <c r="G39" i="104"/>
  <c r="B39" i="104"/>
  <c r="E39" i="104"/>
  <c r="A40" i="104"/>
  <c r="F39" i="104"/>
  <c r="E44" i="97"/>
  <c r="G44" i="97"/>
  <c r="F44" i="97"/>
  <c r="B44" i="97"/>
  <c r="A45" i="97"/>
  <c r="G39" i="103"/>
  <c r="E39" i="103"/>
  <c r="A40" i="103"/>
  <c r="B39" i="103"/>
  <c r="F39" i="103"/>
  <c r="D39" i="102"/>
  <c r="C39" i="102"/>
  <c r="D43" i="96"/>
  <c r="C43" i="96"/>
  <c r="A44" i="88"/>
  <c r="G43" i="88"/>
  <c r="B43" i="88"/>
  <c r="F43" i="88"/>
  <c r="E43" i="88"/>
  <c r="F41" i="101"/>
  <c r="G41" i="101"/>
  <c r="E41" i="101"/>
  <c r="A42" i="101"/>
  <c r="B41" i="101"/>
  <c r="A44" i="98"/>
  <c r="E43" i="98"/>
  <c r="B43" i="98"/>
  <c r="G43" i="98"/>
  <c r="F43" i="98"/>
  <c r="C38" i="103"/>
  <c r="D38" i="103"/>
  <c r="C43" i="97"/>
  <c r="D43" i="97"/>
  <c r="D44" i="95" l="1"/>
  <c r="C44" i="95"/>
  <c r="C39" i="104"/>
  <c r="D39" i="104"/>
  <c r="D44" i="97"/>
  <c r="C44" i="97"/>
  <c r="E43" i="100"/>
  <c r="B43" i="100"/>
  <c r="A44" i="100"/>
  <c r="F43" i="100"/>
  <c r="G43" i="100"/>
  <c r="D43" i="98"/>
  <c r="C43" i="98"/>
  <c r="D42" i="100"/>
  <c r="C42" i="100"/>
  <c r="F45" i="96"/>
  <c r="B45" i="96"/>
  <c r="G45" i="96"/>
  <c r="E45" i="96"/>
  <c r="A46" i="96"/>
  <c r="B41" i="102"/>
  <c r="E41" i="102"/>
  <c r="G41" i="102"/>
  <c r="F41" i="102"/>
  <c r="A42" i="102"/>
  <c r="D43" i="88"/>
  <c r="C43" i="88"/>
  <c r="G45" i="97"/>
  <c r="B45" i="97"/>
  <c r="A46" i="97"/>
  <c r="E45" i="97"/>
  <c r="F45" i="97"/>
  <c r="F44" i="98"/>
  <c r="B44" i="98"/>
  <c r="A45" i="98"/>
  <c r="E44" i="98"/>
  <c r="G44" i="98"/>
  <c r="D39" i="103"/>
  <c r="C39" i="103"/>
  <c r="C41" i="101"/>
  <c r="D41" i="101"/>
  <c r="A41" i="103"/>
  <c r="G40" i="103"/>
  <c r="E40" i="103"/>
  <c r="F40" i="103"/>
  <c r="B40" i="103"/>
  <c r="B45" i="95"/>
  <c r="F45" i="95"/>
  <c r="G45" i="95"/>
  <c r="E45" i="95"/>
  <c r="A46" i="95"/>
  <c r="D43" i="99"/>
  <c r="C43" i="99"/>
  <c r="C44" i="96"/>
  <c r="D44" i="96"/>
  <c r="G42" i="101"/>
  <c r="A43" i="101"/>
  <c r="B42" i="101"/>
  <c r="F42" i="101"/>
  <c r="E42" i="101"/>
  <c r="B44" i="88"/>
  <c r="A45" i="88"/>
  <c r="G44" i="88"/>
  <c r="E44" i="88"/>
  <c r="F44" i="88"/>
  <c r="A41" i="104"/>
  <c r="B40" i="104"/>
  <c r="E40" i="104"/>
  <c r="G40" i="104"/>
  <c r="F40" i="104"/>
  <c r="D40" i="102"/>
  <c r="C40" i="102"/>
  <c r="F44" i="99"/>
  <c r="A45" i="99"/>
  <c r="B44" i="99"/>
  <c r="G44" i="99"/>
  <c r="E44" i="99"/>
  <c r="D44" i="99" l="1"/>
  <c r="C44" i="99"/>
  <c r="D40" i="104"/>
  <c r="C40" i="104"/>
  <c r="F43" i="101"/>
  <c r="A44" i="101"/>
  <c r="B43" i="101"/>
  <c r="E43" i="101"/>
  <c r="G43" i="101"/>
  <c r="C45" i="95"/>
  <c r="D45" i="95"/>
  <c r="A42" i="104"/>
  <c r="F41" i="104"/>
  <c r="G41" i="104"/>
  <c r="E41" i="104"/>
  <c r="B41" i="104"/>
  <c r="C43" i="100"/>
  <c r="D43" i="100"/>
  <c r="D40" i="103"/>
  <c r="C40" i="103"/>
  <c r="B46" i="97"/>
  <c r="G46" i="97"/>
  <c r="F46" i="97"/>
  <c r="E46" i="97"/>
  <c r="A47" i="97"/>
  <c r="G45" i="88"/>
  <c r="F45" i="88"/>
  <c r="E45" i="88"/>
  <c r="A46" i="88"/>
  <c r="B45" i="88"/>
  <c r="C44" i="88"/>
  <c r="D44" i="88"/>
  <c r="C45" i="97"/>
  <c r="D45" i="97"/>
  <c r="D41" i="102"/>
  <c r="C41" i="102"/>
  <c r="B46" i="96"/>
  <c r="F46" i="96"/>
  <c r="G46" i="96"/>
  <c r="A47" i="96"/>
  <c r="E46" i="96"/>
  <c r="B46" i="95"/>
  <c r="A47" i="95"/>
  <c r="F46" i="95"/>
  <c r="E46" i="95"/>
  <c r="G46" i="95"/>
  <c r="F45" i="98"/>
  <c r="B45" i="98"/>
  <c r="E45" i="98"/>
  <c r="A46" i="98"/>
  <c r="G45" i="98"/>
  <c r="C42" i="101"/>
  <c r="D42" i="101"/>
  <c r="G41" i="103"/>
  <c r="E41" i="103"/>
  <c r="A42" i="103"/>
  <c r="F41" i="103"/>
  <c r="B41" i="103"/>
  <c r="C44" i="98"/>
  <c r="D44" i="98"/>
  <c r="G45" i="99"/>
  <c r="B45" i="99"/>
  <c r="E45" i="99"/>
  <c r="A46" i="99"/>
  <c r="F45" i="99"/>
  <c r="B42" i="102"/>
  <c r="E42" i="102"/>
  <c r="F42" i="102"/>
  <c r="A43" i="102"/>
  <c r="G42" i="102"/>
  <c r="C45" i="96"/>
  <c r="D45" i="96"/>
  <c r="G44" i="100"/>
  <c r="E44" i="100"/>
  <c r="A45" i="100"/>
  <c r="F44" i="100"/>
  <c r="B44" i="100"/>
  <c r="B42" i="103" l="1"/>
  <c r="A43" i="103"/>
  <c r="E42" i="103"/>
  <c r="G42" i="103"/>
  <c r="F42" i="103"/>
  <c r="D45" i="98"/>
  <c r="C45" i="98"/>
  <c r="G47" i="96"/>
  <c r="A48" i="96"/>
  <c r="E47" i="96"/>
  <c r="B47" i="96"/>
  <c r="F47" i="96"/>
  <c r="C41" i="104"/>
  <c r="D41" i="104"/>
  <c r="C43" i="101"/>
  <c r="D43" i="101"/>
  <c r="G46" i="99"/>
  <c r="E46" i="99"/>
  <c r="B46" i="99"/>
  <c r="F46" i="99"/>
  <c r="A47" i="99"/>
  <c r="C45" i="99"/>
  <c r="D45" i="99"/>
  <c r="C45" i="88"/>
  <c r="D45" i="88"/>
  <c r="G44" i="101"/>
  <c r="A45" i="101"/>
  <c r="F44" i="101"/>
  <c r="B44" i="101"/>
  <c r="E44" i="101"/>
  <c r="C44" i="100"/>
  <c r="D44" i="100"/>
  <c r="G43" i="102"/>
  <c r="E43" i="102"/>
  <c r="F43" i="102"/>
  <c r="B43" i="102"/>
  <c r="A44" i="102"/>
  <c r="D46" i="96"/>
  <c r="C46" i="96"/>
  <c r="F46" i="88"/>
  <c r="B46" i="88"/>
  <c r="E46" i="88"/>
  <c r="A47" i="88"/>
  <c r="G46" i="88"/>
  <c r="D46" i="97"/>
  <c r="C46" i="97"/>
  <c r="G42" i="104"/>
  <c r="E42" i="104"/>
  <c r="B42" i="104"/>
  <c r="F42" i="104"/>
  <c r="A43" i="104"/>
  <c r="B47" i="95"/>
  <c r="F47" i="95"/>
  <c r="G47" i="95"/>
  <c r="E47" i="95"/>
  <c r="A48" i="95"/>
  <c r="G45" i="100"/>
  <c r="B45" i="100"/>
  <c r="A46" i="100"/>
  <c r="F45" i="100"/>
  <c r="E45" i="100"/>
  <c r="C42" i="102"/>
  <c r="D42" i="102"/>
  <c r="D41" i="103"/>
  <c r="C41" i="103"/>
  <c r="E46" i="98"/>
  <c r="A47" i="98"/>
  <c r="G46" i="98"/>
  <c r="B46" i="98"/>
  <c r="F46" i="98"/>
  <c r="C46" i="95"/>
  <c r="D46" i="95"/>
  <c r="B47" i="97"/>
  <c r="G47" i="97"/>
  <c r="E47" i="97"/>
  <c r="F47" i="97"/>
  <c r="A48" i="97"/>
  <c r="C42" i="104" l="1"/>
  <c r="D42" i="104"/>
  <c r="A49" i="95"/>
  <c r="E48" i="95"/>
  <c r="B48" i="95"/>
  <c r="G48" i="95"/>
  <c r="F48" i="95"/>
  <c r="E46" i="100"/>
  <c r="A47" i="100"/>
  <c r="F46" i="100"/>
  <c r="B46" i="100"/>
  <c r="G46" i="100"/>
  <c r="F43" i="104"/>
  <c r="A44" i="104"/>
  <c r="B43" i="104"/>
  <c r="G43" i="104"/>
  <c r="E43" i="104"/>
  <c r="C45" i="100"/>
  <c r="D45" i="100"/>
  <c r="D47" i="97"/>
  <c r="C47" i="97"/>
  <c r="D46" i="88"/>
  <c r="C46" i="88"/>
  <c r="A49" i="96"/>
  <c r="B48" i="96"/>
  <c r="G48" i="96"/>
  <c r="F48" i="96"/>
  <c r="E48" i="96"/>
  <c r="E48" i="97"/>
  <c r="F48" i="97"/>
  <c r="G48" i="97"/>
  <c r="A49" i="97"/>
  <c r="B48" i="97"/>
  <c r="C46" i="98"/>
  <c r="D46" i="98"/>
  <c r="E44" i="102"/>
  <c r="F44" i="102"/>
  <c r="G44" i="102"/>
  <c r="B44" i="102"/>
  <c r="A45" i="102"/>
  <c r="D44" i="101"/>
  <c r="C44" i="101"/>
  <c r="A48" i="99"/>
  <c r="B47" i="99"/>
  <c r="G47" i="99"/>
  <c r="E47" i="99"/>
  <c r="F47" i="99"/>
  <c r="D47" i="95"/>
  <c r="C47" i="95"/>
  <c r="D43" i="102"/>
  <c r="C43" i="102"/>
  <c r="F47" i="98"/>
  <c r="B47" i="98"/>
  <c r="A48" i="98"/>
  <c r="G47" i="98"/>
  <c r="E47" i="98"/>
  <c r="F45" i="101"/>
  <c r="A46" i="101"/>
  <c r="B45" i="101"/>
  <c r="G45" i="101"/>
  <c r="E45" i="101"/>
  <c r="D46" i="99"/>
  <c r="C46" i="99"/>
  <c r="D47" i="96"/>
  <c r="C47" i="96"/>
  <c r="B43" i="103"/>
  <c r="E43" i="103"/>
  <c r="G43" i="103"/>
  <c r="F43" i="103"/>
  <c r="A44" i="103"/>
  <c r="G47" i="88"/>
  <c r="B47" i="88"/>
  <c r="A48" i="88"/>
  <c r="E47" i="88"/>
  <c r="F47" i="88"/>
  <c r="D42" i="103"/>
  <c r="C42" i="103"/>
  <c r="C44" i="102" l="1"/>
  <c r="D44" i="102"/>
  <c r="D43" i="104"/>
  <c r="C43" i="104"/>
  <c r="G48" i="88"/>
  <c r="B48" i="88"/>
  <c r="F48" i="88"/>
  <c r="A49" i="88"/>
  <c r="E48" i="88"/>
  <c r="C48" i="96"/>
  <c r="D48" i="96"/>
  <c r="A46" i="102"/>
  <c r="E45" i="102"/>
  <c r="F45" i="102"/>
  <c r="B45" i="102"/>
  <c r="G45" i="102"/>
  <c r="B49" i="97"/>
  <c r="A50" i="97"/>
  <c r="G49" i="97"/>
  <c r="E49" i="97"/>
  <c r="F49" i="97"/>
  <c r="G49" i="96"/>
  <c r="A50" i="96"/>
  <c r="B49" i="96"/>
  <c r="E49" i="96"/>
  <c r="F49" i="96"/>
  <c r="B44" i="103"/>
  <c r="A45" i="103"/>
  <c r="G44" i="103"/>
  <c r="F44" i="103"/>
  <c r="E44" i="103"/>
  <c r="B48" i="98"/>
  <c r="F48" i="98"/>
  <c r="A49" i="98"/>
  <c r="E48" i="98"/>
  <c r="G48" i="98"/>
  <c r="A45" i="104"/>
  <c r="B44" i="104"/>
  <c r="F44" i="104"/>
  <c r="E44" i="104"/>
  <c r="G44" i="104"/>
  <c r="C48" i="97"/>
  <c r="D48" i="97"/>
  <c r="C47" i="88"/>
  <c r="D47" i="88"/>
  <c r="C47" i="98"/>
  <c r="D47" i="98"/>
  <c r="D48" i="95"/>
  <c r="C48" i="95"/>
  <c r="C47" i="99"/>
  <c r="D47" i="99"/>
  <c r="D45" i="101"/>
  <c r="C45" i="101"/>
  <c r="G48" i="99"/>
  <c r="E48" i="99"/>
  <c r="B48" i="99"/>
  <c r="A49" i="99"/>
  <c r="F48" i="99"/>
  <c r="C46" i="100"/>
  <c r="D46" i="100"/>
  <c r="E49" i="95"/>
  <c r="F49" i="95"/>
  <c r="G49" i="95"/>
  <c r="B49" i="95"/>
  <c r="A50" i="95"/>
  <c r="D43" i="103"/>
  <c r="C43" i="103"/>
  <c r="F46" i="101"/>
  <c r="G46" i="101"/>
  <c r="E46" i="101"/>
  <c r="B46" i="101"/>
  <c r="A47" i="101"/>
  <c r="G47" i="100"/>
  <c r="F47" i="100"/>
  <c r="E47" i="100"/>
  <c r="A48" i="100"/>
  <c r="B47" i="100"/>
  <c r="B50" i="96" l="1"/>
  <c r="G50" i="96"/>
  <c r="F50" i="96"/>
  <c r="A51" i="96"/>
  <c r="E50" i="96"/>
  <c r="D45" i="102"/>
  <c r="C45" i="102"/>
  <c r="C48" i="88"/>
  <c r="D48" i="88"/>
  <c r="E49" i="88"/>
  <c r="F49" i="88"/>
  <c r="A50" i="88"/>
  <c r="B49" i="88"/>
  <c r="G49" i="88"/>
  <c r="C46" i="101"/>
  <c r="D46" i="101"/>
  <c r="D44" i="104"/>
  <c r="C44" i="104"/>
  <c r="D47" i="100"/>
  <c r="C47" i="100"/>
  <c r="G45" i="104"/>
  <c r="E45" i="104"/>
  <c r="A46" i="104"/>
  <c r="F45" i="104"/>
  <c r="B45" i="104"/>
  <c r="E48" i="100"/>
  <c r="F48" i="100"/>
  <c r="G48" i="100"/>
  <c r="A49" i="100"/>
  <c r="B48" i="100"/>
  <c r="A46" i="103"/>
  <c r="E45" i="103"/>
  <c r="F45" i="103"/>
  <c r="B45" i="103"/>
  <c r="G45" i="103"/>
  <c r="B46" i="102"/>
  <c r="E46" i="102"/>
  <c r="F46" i="102"/>
  <c r="G46" i="102"/>
  <c r="A47" i="102"/>
  <c r="D49" i="95"/>
  <c r="C49" i="95"/>
  <c r="D49" i="96"/>
  <c r="C49" i="96"/>
  <c r="C44" i="103"/>
  <c r="D44" i="103"/>
  <c r="C48" i="99"/>
  <c r="D48" i="99"/>
  <c r="C48" i="98"/>
  <c r="D48" i="98"/>
  <c r="B49" i="98"/>
  <c r="G49" i="98"/>
  <c r="A50" i="98"/>
  <c r="F49" i="98"/>
  <c r="E49" i="98"/>
  <c r="A48" i="101"/>
  <c r="E47" i="101"/>
  <c r="B47" i="101"/>
  <c r="F47" i="101"/>
  <c r="G47" i="101"/>
  <c r="G50" i="97"/>
  <c r="A51" i="97"/>
  <c r="E50" i="97"/>
  <c r="B50" i="97"/>
  <c r="F50" i="97"/>
  <c r="F50" i="95"/>
  <c r="B50" i="95"/>
  <c r="E50" i="95"/>
  <c r="A51" i="95"/>
  <c r="G50" i="95"/>
  <c r="F49" i="99"/>
  <c r="G49" i="99"/>
  <c r="A50" i="99"/>
  <c r="B49" i="99"/>
  <c r="E49" i="99"/>
  <c r="D49" i="97"/>
  <c r="C49" i="97"/>
  <c r="G48" i="101" l="1"/>
  <c r="E48" i="101"/>
  <c r="B48" i="101"/>
  <c r="A49" i="101"/>
  <c r="F48" i="101"/>
  <c r="F46" i="103"/>
  <c r="E46" i="103"/>
  <c r="G46" i="103"/>
  <c r="A47" i="103"/>
  <c r="B46" i="103"/>
  <c r="F46" i="104"/>
  <c r="E46" i="104"/>
  <c r="A47" i="104"/>
  <c r="B46" i="104"/>
  <c r="G46" i="104"/>
  <c r="C50" i="97"/>
  <c r="D50" i="97"/>
  <c r="E47" i="102"/>
  <c r="B47" i="102"/>
  <c r="F47" i="102"/>
  <c r="A48" i="102"/>
  <c r="G47" i="102"/>
  <c r="F51" i="97"/>
  <c r="A52" i="97"/>
  <c r="G51" i="97"/>
  <c r="B51" i="97"/>
  <c r="E51" i="97"/>
  <c r="C48" i="100"/>
  <c r="D48" i="100"/>
  <c r="E50" i="98"/>
  <c r="A51" i="98"/>
  <c r="F50" i="98"/>
  <c r="B50" i="98"/>
  <c r="G50" i="98"/>
  <c r="C49" i="88"/>
  <c r="D49" i="88"/>
  <c r="G51" i="95"/>
  <c r="F51" i="95"/>
  <c r="A52" i="95"/>
  <c r="E51" i="95"/>
  <c r="B51" i="95"/>
  <c r="F49" i="100"/>
  <c r="E49" i="100"/>
  <c r="A50" i="100"/>
  <c r="G49" i="100"/>
  <c r="B49" i="100"/>
  <c r="C46" i="102"/>
  <c r="D46" i="102"/>
  <c r="E50" i="88"/>
  <c r="A51" i="88"/>
  <c r="G50" i="88"/>
  <c r="B50" i="88"/>
  <c r="F50" i="88"/>
  <c r="F51" i="96"/>
  <c r="E51" i="96"/>
  <c r="A52" i="96"/>
  <c r="B51" i="96"/>
  <c r="G51" i="96"/>
  <c r="C49" i="98"/>
  <c r="D49" i="98"/>
  <c r="G50" i="99"/>
  <c r="F50" i="99"/>
  <c r="A51" i="99"/>
  <c r="E50" i="99"/>
  <c r="B50" i="99"/>
  <c r="C45" i="104"/>
  <c r="D45" i="104"/>
  <c r="D50" i="95"/>
  <c r="C50" i="95"/>
  <c r="D49" i="99"/>
  <c r="C49" i="99"/>
  <c r="C47" i="101"/>
  <c r="D47" i="101"/>
  <c r="D45" i="103"/>
  <c r="C45" i="103"/>
  <c r="D50" i="96"/>
  <c r="C50" i="96"/>
  <c r="D51" i="96" l="1"/>
  <c r="C51" i="96"/>
  <c r="A53" i="96"/>
  <c r="B52" i="96"/>
  <c r="G52" i="96"/>
  <c r="E52" i="96"/>
  <c r="F52" i="96"/>
  <c r="G52" i="95"/>
  <c r="E52" i="95"/>
  <c r="B52" i="95"/>
  <c r="A53" i="95"/>
  <c r="F52" i="95"/>
  <c r="G51" i="98"/>
  <c r="E51" i="98"/>
  <c r="B51" i="98"/>
  <c r="A52" i="98"/>
  <c r="F51" i="98"/>
  <c r="C50" i="98"/>
  <c r="D50" i="98"/>
  <c r="G52" i="97"/>
  <c r="F52" i="97"/>
  <c r="E52" i="97"/>
  <c r="B52" i="97"/>
  <c r="A53" i="97"/>
  <c r="D49" i="100"/>
  <c r="C49" i="100"/>
  <c r="C46" i="104"/>
  <c r="D46" i="104"/>
  <c r="G50" i="100"/>
  <c r="F50" i="100"/>
  <c r="E50" i="100"/>
  <c r="A51" i="100"/>
  <c r="B50" i="100"/>
  <c r="D51" i="95"/>
  <c r="C51" i="95"/>
  <c r="B51" i="99"/>
  <c r="A52" i="99"/>
  <c r="F51" i="99"/>
  <c r="E51" i="99"/>
  <c r="G51" i="99"/>
  <c r="G48" i="102"/>
  <c r="F48" i="102"/>
  <c r="B48" i="102"/>
  <c r="A49" i="102"/>
  <c r="E48" i="102"/>
  <c r="G47" i="104"/>
  <c r="A48" i="104"/>
  <c r="E47" i="104"/>
  <c r="B47" i="104"/>
  <c r="F47" i="104"/>
  <c r="E49" i="101"/>
  <c r="F49" i="101"/>
  <c r="A50" i="101"/>
  <c r="G49" i="101"/>
  <c r="B49" i="101"/>
  <c r="D50" i="88"/>
  <c r="C50" i="88"/>
  <c r="C47" i="102"/>
  <c r="D47" i="102"/>
  <c r="D48" i="101"/>
  <c r="C48" i="101"/>
  <c r="A52" i="88"/>
  <c r="G51" i="88"/>
  <c r="E51" i="88"/>
  <c r="F51" i="88"/>
  <c r="B51" i="88"/>
  <c r="C51" i="97"/>
  <c r="D51" i="97"/>
  <c r="D46" i="103"/>
  <c r="C46" i="103"/>
  <c r="C50" i="99"/>
  <c r="D50" i="99"/>
  <c r="F47" i="103"/>
  <c r="E47" i="103"/>
  <c r="B47" i="103"/>
  <c r="A48" i="103"/>
  <c r="G47" i="103"/>
  <c r="D50" i="100" l="1"/>
  <c r="C50" i="100"/>
  <c r="F51" i="100"/>
  <c r="G51" i="100"/>
  <c r="A52" i="100"/>
  <c r="E51" i="100"/>
  <c r="B51" i="100"/>
  <c r="B53" i="97"/>
  <c r="A54" i="97"/>
  <c r="F53" i="97"/>
  <c r="G53" i="97"/>
  <c r="E53" i="97"/>
  <c r="A53" i="98"/>
  <c r="E52" i="98"/>
  <c r="G52" i="98"/>
  <c r="F52" i="98"/>
  <c r="B52" i="98"/>
  <c r="C49" i="101"/>
  <c r="D49" i="101"/>
  <c r="B48" i="104"/>
  <c r="F48" i="104"/>
  <c r="A49" i="104"/>
  <c r="E48" i="104"/>
  <c r="G48" i="104"/>
  <c r="D52" i="97"/>
  <c r="C52" i="97"/>
  <c r="D51" i="98"/>
  <c r="C51" i="98"/>
  <c r="G52" i="88"/>
  <c r="E52" i="88"/>
  <c r="F52" i="88"/>
  <c r="B52" i="88"/>
  <c r="A53" i="88"/>
  <c r="B50" i="101"/>
  <c r="F50" i="101"/>
  <c r="G50" i="101"/>
  <c r="A51" i="101"/>
  <c r="E50" i="101"/>
  <c r="G52" i="99"/>
  <c r="A53" i="99"/>
  <c r="B52" i="99"/>
  <c r="E52" i="99"/>
  <c r="F52" i="99"/>
  <c r="F48" i="103"/>
  <c r="A49" i="103"/>
  <c r="B48" i="103"/>
  <c r="E48" i="103"/>
  <c r="G48" i="103"/>
  <c r="E49" i="102"/>
  <c r="G49" i="102"/>
  <c r="A50" i="102"/>
  <c r="B49" i="102"/>
  <c r="F49" i="102"/>
  <c r="C51" i="99"/>
  <c r="D51" i="99"/>
  <c r="C52" i="96"/>
  <c r="D52" i="96"/>
  <c r="C47" i="104"/>
  <c r="D47" i="104"/>
  <c r="D47" i="103"/>
  <c r="C47" i="103"/>
  <c r="D48" i="102"/>
  <c r="C48" i="102"/>
  <c r="F53" i="95"/>
  <c r="A54" i="95"/>
  <c r="B53" i="95"/>
  <c r="G53" i="95"/>
  <c r="E53" i="95"/>
  <c r="G53" i="96"/>
  <c r="A54" i="96"/>
  <c r="F53" i="96"/>
  <c r="B53" i="96"/>
  <c r="E53" i="96"/>
  <c r="C51" i="88"/>
  <c r="D51" i="88"/>
  <c r="D52" i="95"/>
  <c r="C52" i="95"/>
  <c r="B53" i="88" l="1"/>
  <c r="G53" i="88"/>
  <c r="A54" i="88"/>
  <c r="F53" i="88"/>
  <c r="E53" i="88"/>
  <c r="D52" i="98"/>
  <c r="C52" i="98"/>
  <c r="D53" i="96"/>
  <c r="C53" i="96"/>
  <c r="B53" i="99"/>
  <c r="G53" i="99"/>
  <c r="E53" i="99"/>
  <c r="A54" i="99"/>
  <c r="F53" i="99"/>
  <c r="D52" i="88"/>
  <c r="C52" i="88"/>
  <c r="D53" i="97"/>
  <c r="C53" i="97"/>
  <c r="C51" i="100"/>
  <c r="D51" i="100"/>
  <c r="B54" i="95"/>
  <c r="A55" i="95"/>
  <c r="G54" i="95"/>
  <c r="F54" i="95"/>
  <c r="E54" i="95"/>
  <c r="E54" i="96"/>
  <c r="F54" i="96"/>
  <c r="G54" i="96"/>
  <c r="B54" i="96"/>
  <c r="A55" i="96"/>
  <c r="D48" i="103"/>
  <c r="C48" i="103"/>
  <c r="G49" i="103"/>
  <c r="E49" i="103"/>
  <c r="F49" i="103"/>
  <c r="B49" i="103"/>
  <c r="A50" i="103"/>
  <c r="B51" i="101"/>
  <c r="E51" i="101"/>
  <c r="A52" i="101"/>
  <c r="G51" i="101"/>
  <c r="F51" i="101"/>
  <c r="B53" i="98"/>
  <c r="F53" i="98"/>
  <c r="G53" i="98"/>
  <c r="A54" i="98"/>
  <c r="E53" i="98"/>
  <c r="E52" i="100"/>
  <c r="G52" i="100"/>
  <c r="F52" i="100"/>
  <c r="A53" i="100"/>
  <c r="B52" i="100"/>
  <c r="G49" i="104"/>
  <c r="E49" i="104"/>
  <c r="A50" i="104"/>
  <c r="F49" i="104"/>
  <c r="B49" i="104"/>
  <c r="D49" i="102"/>
  <c r="C49" i="102"/>
  <c r="D48" i="104"/>
  <c r="C48" i="104"/>
  <c r="G50" i="102"/>
  <c r="E50" i="102"/>
  <c r="B50" i="102"/>
  <c r="A51" i="102"/>
  <c r="F50" i="102"/>
  <c r="D53" i="95"/>
  <c r="C53" i="95"/>
  <c r="C50" i="101"/>
  <c r="D50" i="101"/>
  <c r="D52" i="99"/>
  <c r="C52" i="99"/>
  <c r="E54" i="97"/>
  <c r="F54" i="97"/>
  <c r="G54" i="97"/>
  <c r="B54" i="97"/>
  <c r="A55" i="97"/>
  <c r="D49" i="104" l="1"/>
  <c r="C49" i="104"/>
  <c r="G54" i="98"/>
  <c r="F54" i="98"/>
  <c r="B54" i="98"/>
  <c r="E54" i="98"/>
  <c r="A55" i="98"/>
  <c r="D51" i="101"/>
  <c r="C51" i="101"/>
  <c r="F55" i="96"/>
  <c r="B55" i="96"/>
  <c r="G55" i="96"/>
  <c r="A56" i="96"/>
  <c r="E55" i="96"/>
  <c r="E55" i="95"/>
  <c r="A56" i="95"/>
  <c r="G55" i="95"/>
  <c r="B55" i="95"/>
  <c r="F55" i="95"/>
  <c r="A52" i="102"/>
  <c r="E51" i="102"/>
  <c r="F51" i="102"/>
  <c r="G51" i="102"/>
  <c r="B51" i="102"/>
  <c r="A51" i="104"/>
  <c r="E50" i="104"/>
  <c r="F50" i="104"/>
  <c r="G50" i="104"/>
  <c r="B50" i="104"/>
  <c r="A53" i="101"/>
  <c r="G52" i="101"/>
  <c r="F52" i="101"/>
  <c r="B52" i="101"/>
  <c r="E52" i="101"/>
  <c r="C54" i="96"/>
  <c r="D54" i="96"/>
  <c r="D54" i="97"/>
  <c r="C54" i="97"/>
  <c r="D52" i="100"/>
  <c r="C52" i="100"/>
  <c r="D49" i="103"/>
  <c r="C49" i="103"/>
  <c r="F55" i="97"/>
  <c r="A56" i="97"/>
  <c r="B55" i="97"/>
  <c r="G55" i="97"/>
  <c r="E55" i="97"/>
  <c r="B54" i="99"/>
  <c r="G54" i="99"/>
  <c r="F54" i="99"/>
  <c r="E54" i="99"/>
  <c r="A55" i="99"/>
  <c r="F53" i="100"/>
  <c r="A54" i="100"/>
  <c r="B53" i="100"/>
  <c r="E53" i="100"/>
  <c r="G53" i="100"/>
  <c r="C53" i="98"/>
  <c r="D53" i="98"/>
  <c r="F54" i="88"/>
  <c r="A55" i="88"/>
  <c r="E54" i="88"/>
  <c r="B54" i="88"/>
  <c r="G54" i="88"/>
  <c r="C50" i="102"/>
  <c r="D50" i="102"/>
  <c r="E50" i="103"/>
  <c r="F50" i="103"/>
  <c r="A51" i="103"/>
  <c r="B50" i="103"/>
  <c r="G50" i="103"/>
  <c r="D54" i="95"/>
  <c r="C54" i="95"/>
  <c r="C53" i="99"/>
  <c r="D53" i="99"/>
  <c r="C53" i="88"/>
  <c r="D53" i="88"/>
  <c r="C54" i="99" l="1"/>
  <c r="D54" i="99"/>
  <c r="C51" i="102"/>
  <c r="D51" i="102"/>
  <c r="F56" i="95"/>
  <c r="E56" i="95"/>
  <c r="A57" i="95"/>
  <c r="G56" i="95"/>
  <c r="B56" i="95"/>
  <c r="C52" i="101"/>
  <c r="D52" i="101"/>
  <c r="E51" i="104"/>
  <c r="G51" i="104"/>
  <c r="F51" i="104"/>
  <c r="B51" i="104"/>
  <c r="A52" i="104"/>
  <c r="C54" i="88"/>
  <c r="D54" i="88"/>
  <c r="D53" i="100"/>
  <c r="C53" i="100"/>
  <c r="E55" i="98"/>
  <c r="G55" i="98"/>
  <c r="B55" i="98"/>
  <c r="F55" i="98"/>
  <c r="A56" i="98"/>
  <c r="C50" i="103"/>
  <c r="D50" i="103"/>
  <c r="G54" i="100"/>
  <c r="F54" i="100"/>
  <c r="A55" i="100"/>
  <c r="B54" i="100"/>
  <c r="E54" i="100"/>
  <c r="B53" i="101"/>
  <c r="A54" i="101"/>
  <c r="F53" i="101"/>
  <c r="G53" i="101"/>
  <c r="E53" i="101"/>
  <c r="F51" i="103"/>
  <c r="A52" i="103"/>
  <c r="B51" i="103"/>
  <c r="E51" i="103"/>
  <c r="G51" i="103"/>
  <c r="G56" i="96"/>
  <c r="A57" i="96"/>
  <c r="B56" i="96"/>
  <c r="E56" i="96"/>
  <c r="F56" i="96"/>
  <c r="D54" i="98"/>
  <c r="C54" i="98"/>
  <c r="B55" i="99"/>
  <c r="G55" i="99"/>
  <c r="E55" i="99"/>
  <c r="A56" i="99"/>
  <c r="F55" i="99"/>
  <c r="A57" i="97"/>
  <c r="G56" i="97"/>
  <c r="B56" i="97"/>
  <c r="E56" i="97"/>
  <c r="F56" i="97"/>
  <c r="B52" i="102"/>
  <c r="E52" i="102"/>
  <c r="A53" i="102"/>
  <c r="F52" i="102"/>
  <c r="G52" i="102"/>
  <c r="F55" i="88"/>
  <c r="B55" i="88"/>
  <c r="E55" i="88"/>
  <c r="A56" i="88"/>
  <c r="G55" i="88"/>
  <c r="C55" i="97"/>
  <c r="D55" i="97"/>
  <c r="C50" i="104"/>
  <c r="D50" i="104"/>
  <c r="C55" i="96"/>
  <c r="D55" i="96"/>
  <c r="D55" i="95"/>
  <c r="C55" i="95"/>
  <c r="C51" i="103" l="1"/>
  <c r="D51" i="103"/>
  <c r="B52" i="104"/>
  <c r="A53" i="104"/>
  <c r="E52" i="104"/>
  <c r="G52" i="104"/>
  <c r="F52" i="104"/>
  <c r="E57" i="96"/>
  <c r="B57" i="96"/>
  <c r="A58" i="96"/>
  <c r="F57" i="96"/>
  <c r="G57" i="96"/>
  <c r="E57" i="95"/>
  <c r="B57" i="95"/>
  <c r="G57" i="95"/>
  <c r="A58" i="95"/>
  <c r="F57" i="95"/>
  <c r="C52" i="102"/>
  <c r="D52" i="102"/>
  <c r="B57" i="97"/>
  <c r="F57" i="97"/>
  <c r="A58" i="97"/>
  <c r="G57" i="97"/>
  <c r="E57" i="97"/>
  <c r="E52" i="103"/>
  <c r="A53" i="103"/>
  <c r="F52" i="103"/>
  <c r="G52" i="103"/>
  <c r="B52" i="103"/>
  <c r="C54" i="100"/>
  <c r="D54" i="100"/>
  <c r="C55" i="98"/>
  <c r="D55" i="98"/>
  <c r="C51" i="104"/>
  <c r="D51" i="104"/>
  <c r="B53" i="102"/>
  <c r="E53" i="102"/>
  <c r="F53" i="102"/>
  <c r="G53" i="102"/>
  <c r="A54" i="102"/>
  <c r="B55" i="100"/>
  <c r="G55" i="100"/>
  <c r="F55" i="100"/>
  <c r="E55" i="100"/>
  <c r="A56" i="100"/>
  <c r="E56" i="99"/>
  <c r="B56" i="99"/>
  <c r="G56" i="99"/>
  <c r="F56" i="99"/>
  <c r="A57" i="99"/>
  <c r="C56" i="96"/>
  <c r="D56" i="96"/>
  <c r="E56" i="88"/>
  <c r="G56" i="88"/>
  <c r="B56" i="88"/>
  <c r="F56" i="88"/>
  <c r="A57" i="88"/>
  <c r="D55" i="88"/>
  <c r="C55" i="88"/>
  <c r="D55" i="99"/>
  <c r="C55" i="99"/>
  <c r="G54" i="101"/>
  <c r="E54" i="101"/>
  <c r="F54" i="101"/>
  <c r="A55" i="101"/>
  <c r="B54" i="101"/>
  <c r="C56" i="97"/>
  <c r="D56" i="97"/>
  <c r="C53" i="101"/>
  <c r="D53" i="101"/>
  <c r="A57" i="98"/>
  <c r="G56" i="98"/>
  <c r="E56" i="98"/>
  <c r="B56" i="98"/>
  <c r="F56" i="98"/>
  <c r="D56" i="95"/>
  <c r="C56" i="95"/>
  <c r="A56" i="101" l="1"/>
  <c r="G55" i="101"/>
  <c r="E55" i="101"/>
  <c r="F55" i="101"/>
  <c r="B55" i="101"/>
  <c r="D55" i="100"/>
  <c r="C55" i="100"/>
  <c r="A55" i="102"/>
  <c r="B54" i="102"/>
  <c r="E54" i="102"/>
  <c r="F54" i="102"/>
  <c r="G54" i="102"/>
  <c r="G58" i="95"/>
  <c r="E58" i="95"/>
  <c r="F58" i="95"/>
  <c r="A59" i="95"/>
  <c r="B58" i="95"/>
  <c r="A58" i="98"/>
  <c r="B57" i="98"/>
  <c r="F57" i="98"/>
  <c r="E57" i="98"/>
  <c r="G57" i="98"/>
  <c r="G57" i="88"/>
  <c r="A58" i="88"/>
  <c r="F57" i="88"/>
  <c r="E57" i="88"/>
  <c r="B57" i="88"/>
  <c r="C57" i="96"/>
  <c r="D57" i="96"/>
  <c r="D56" i="88"/>
  <c r="C56" i="88"/>
  <c r="C56" i="99"/>
  <c r="D56" i="99"/>
  <c r="A59" i="97"/>
  <c r="B58" i="97"/>
  <c r="F58" i="97"/>
  <c r="G58" i="97"/>
  <c r="E58" i="97"/>
  <c r="C57" i="95"/>
  <c r="D57" i="95"/>
  <c r="E56" i="100"/>
  <c r="G56" i="100"/>
  <c r="B56" i="100"/>
  <c r="F56" i="100"/>
  <c r="A57" i="100"/>
  <c r="C52" i="103"/>
  <c r="D52" i="103"/>
  <c r="D53" i="102"/>
  <c r="C53" i="102"/>
  <c r="C57" i="97"/>
  <c r="D57" i="97"/>
  <c r="B53" i="104"/>
  <c r="F53" i="104"/>
  <c r="G53" i="104"/>
  <c r="E53" i="104"/>
  <c r="A54" i="104"/>
  <c r="C52" i="104"/>
  <c r="D52" i="104"/>
  <c r="D56" i="98"/>
  <c r="C56" i="98"/>
  <c r="C54" i="101"/>
  <c r="D54" i="101"/>
  <c r="G57" i="99"/>
  <c r="F57" i="99"/>
  <c r="E57" i="99"/>
  <c r="B57" i="99"/>
  <c r="A58" i="99"/>
  <c r="G53" i="103"/>
  <c r="A54" i="103"/>
  <c r="F53" i="103"/>
  <c r="B53" i="103"/>
  <c r="E53" i="103"/>
  <c r="B58" i="96"/>
  <c r="F58" i="96"/>
  <c r="G58" i="96"/>
  <c r="E58" i="96"/>
  <c r="A59" i="96"/>
  <c r="B54" i="104" l="1"/>
  <c r="F54" i="104"/>
  <c r="E54" i="104"/>
  <c r="G54" i="104"/>
  <c r="A55" i="104"/>
  <c r="E58" i="88"/>
  <c r="F58" i="88"/>
  <c r="B58" i="88"/>
  <c r="A59" i="88"/>
  <c r="G58" i="88"/>
  <c r="B59" i="95"/>
  <c r="F59" i="95"/>
  <c r="G59" i="95"/>
  <c r="A60" i="95"/>
  <c r="E59" i="95"/>
  <c r="B55" i="102"/>
  <c r="G55" i="102"/>
  <c r="E55" i="102"/>
  <c r="F55" i="102"/>
  <c r="A56" i="102"/>
  <c r="C53" i="103"/>
  <c r="D53" i="103"/>
  <c r="E59" i="96"/>
  <c r="A60" i="96"/>
  <c r="B59" i="96"/>
  <c r="F59" i="96"/>
  <c r="G59" i="96"/>
  <c r="C55" i="101"/>
  <c r="D55" i="101"/>
  <c r="E54" i="103"/>
  <c r="A55" i="103"/>
  <c r="B54" i="103"/>
  <c r="F54" i="103"/>
  <c r="G54" i="103"/>
  <c r="F57" i="100"/>
  <c r="A58" i="100"/>
  <c r="G57" i="100"/>
  <c r="E57" i="100"/>
  <c r="B57" i="100"/>
  <c r="C53" i="104"/>
  <c r="D53" i="104"/>
  <c r="B58" i="99"/>
  <c r="E58" i="99"/>
  <c r="G58" i="99"/>
  <c r="A59" i="99"/>
  <c r="F58" i="99"/>
  <c r="C58" i="96"/>
  <c r="D58" i="96"/>
  <c r="D56" i="100"/>
  <c r="C56" i="100"/>
  <c r="C58" i="97"/>
  <c r="D58" i="97"/>
  <c r="C57" i="88"/>
  <c r="D57" i="88"/>
  <c r="C57" i="98"/>
  <c r="D57" i="98"/>
  <c r="D57" i="99"/>
  <c r="C57" i="99"/>
  <c r="A60" i="97"/>
  <c r="B59" i="97"/>
  <c r="G59" i="97"/>
  <c r="E59" i="97"/>
  <c r="F59" i="97"/>
  <c r="E58" i="98"/>
  <c r="G58" i="98"/>
  <c r="F58" i="98"/>
  <c r="B58" i="98"/>
  <c r="A59" i="98"/>
  <c r="C58" i="95"/>
  <c r="D58" i="95"/>
  <c r="D54" i="102"/>
  <c r="C54" i="102"/>
  <c r="F56" i="101"/>
  <c r="G56" i="101"/>
  <c r="E56" i="101"/>
  <c r="B56" i="101"/>
  <c r="A57" i="101"/>
  <c r="D59" i="96" l="1"/>
  <c r="C59" i="96"/>
  <c r="C54" i="103"/>
  <c r="D54" i="103"/>
  <c r="G60" i="96"/>
  <c r="F60" i="96"/>
  <c r="A61" i="96"/>
  <c r="E60" i="96"/>
  <c r="B60" i="96"/>
  <c r="D55" i="102"/>
  <c r="C55" i="102"/>
  <c r="C58" i="88"/>
  <c r="D58" i="88"/>
  <c r="C59" i="97"/>
  <c r="D59" i="97"/>
  <c r="D58" i="98"/>
  <c r="C58" i="98"/>
  <c r="D57" i="100"/>
  <c r="C57" i="100"/>
  <c r="F55" i="103"/>
  <c r="B55" i="103"/>
  <c r="G55" i="103"/>
  <c r="A56" i="103"/>
  <c r="E55" i="103"/>
  <c r="B60" i="95"/>
  <c r="E60" i="95"/>
  <c r="F60" i="95"/>
  <c r="G60" i="95"/>
  <c r="A61" i="95"/>
  <c r="B57" i="101"/>
  <c r="F57" i="101"/>
  <c r="A58" i="101"/>
  <c r="G57" i="101"/>
  <c r="E57" i="101"/>
  <c r="A60" i="99"/>
  <c r="F59" i="99"/>
  <c r="E59" i="99"/>
  <c r="B59" i="99"/>
  <c r="G59" i="99"/>
  <c r="G55" i="104"/>
  <c r="E55" i="104"/>
  <c r="F55" i="104"/>
  <c r="A56" i="104"/>
  <c r="B55" i="104"/>
  <c r="F59" i="98"/>
  <c r="E59" i="98"/>
  <c r="A60" i="98"/>
  <c r="B59" i="98"/>
  <c r="G59" i="98"/>
  <c r="A59" i="100"/>
  <c r="F58" i="100"/>
  <c r="G58" i="100"/>
  <c r="E58" i="100"/>
  <c r="B58" i="100"/>
  <c r="E56" i="102"/>
  <c r="F56" i="102"/>
  <c r="B56" i="102"/>
  <c r="G56" i="102"/>
  <c r="A57" i="102"/>
  <c r="C56" i="101"/>
  <c r="D56" i="101"/>
  <c r="C59" i="95"/>
  <c r="D59" i="95"/>
  <c r="D58" i="99"/>
  <c r="C58" i="99"/>
  <c r="A61" i="97"/>
  <c r="G60" i="97"/>
  <c r="B60" i="97"/>
  <c r="E60" i="97"/>
  <c r="F60" i="97"/>
  <c r="F59" i="88"/>
  <c r="B59" i="88"/>
  <c r="G59" i="88"/>
  <c r="E59" i="88"/>
  <c r="A60" i="88"/>
  <c r="D54" i="104"/>
  <c r="C54" i="104"/>
  <c r="E57" i="102" l="1"/>
  <c r="A58" i="102"/>
  <c r="B57" i="102"/>
  <c r="F57" i="102"/>
  <c r="G57" i="102"/>
  <c r="C59" i="88"/>
  <c r="D59" i="88"/>
  <c r="C59" i="98"/>
  <c r="D59" i="98"/>
  <c r="E58" i="101"/>
  <c r="A59" i="101"/>
  <c r="G58" i="101"/>
  <c r="B58" i="101"/>
  <c r="F58" i="101"/>
  <c r="A61" i="98"/>
  <c r="G60" i="98"/>
  <c r="E60" i="98"/>
  <c r="F60" i="98"/>
  <c r="B60" i="98"/>
  <c r="F56" i="103"/>
  <c r="E56" i="103"/>
  <c r="B56" i="103"/>
  <c r="G56" i="103"/>
  <c r="A57" i="103"/>
  <c r="A62" i="96"/>
  <c r="F61" i="96"/>
  <c r="E61" i="96"/>
  <c r="B61" i="96"/>
  <c r="G61" i="96"/>
  <c r="D58" i="100"/>
  <c r="C58" i="100"/>
  <c r="C59" i="99"/>
  <c r="D59" i="99"/>
  <c r="D57" i="101"/>
  <c r="C57" i="101"/>
  <c r="G60" i="88"/>
  <c r="F60" i="88"/>
  <c r="A61" i="88"/>
  <c r="E60" i="88"/>
  <c r="B60" i="88"/>
  <c r="B61" i="95"/>
  <c r="A62" i="95"/>
  <c r="E61" i="95"/>
  <c r="G61" i="95"/>
  <c r="F61" i="95"/>
  <c r="C55" i="103"/>
  <c r="D55" i="103"/>
  <c r="D60" i="97"/>
  <c r="C60" i="97"/>
  <c r="D55" i="104"/>
  <c r="C55" i="104"/>
  <c r="B56" i="104"/>
  <c r="G56" i="104"/>
  <c r="E56" i="104"/>
  <c r="A57" i="104"/>
  <c r="F56" i="104"/>
  <c r="B60" i="99"/>
  <c r="A61" i="99"/>
  <c r="G60" i="99"/>
  <c r="F60" i="99"/>
  <c r="E60" i="99"/>
  <c r="A62" i="97"/>
  <c r="B61" i="97"/>
  <c r="E61" i="97"/>
  <c r="G61" i="97"/>
  <c r="F61" i="97"/>
  <c r="A60" i="100"/>
  <c r="E59" i="100"/>
  <c r="G59" i="100"/>
  <c r="B59" i="100"/>
  <c r="F59" i="100"/>
  <c r="C56" i="102"/>
  <c r="D56" i="102"/>
  <c r="C60" i="95"/>
  <c r="D60" i="95"/>
  <c r="C60" i="96"/>
  <c r="D60" i="96"/>
  <c r="C60" i="88" l="1"/>
  <c r="D60" i="88"/>
  <c r="G57" i="103"/>
  <c r="A58" i="103"/>
  <c r="F57" i="103"/>
  <c r="E57" i="103"/>
  <c r="B57" i="103"/>
  <c r="G61" i="98"/>
  <c r="E61" i="98"/>
  <c r="F61" i="98"/>
  <c r="A62" i="98"/>
  <c r="B61" i="98"/>
  <c r="D59" i="100"/>
  <c r="C59" i="100"/>
  <c r="B62" i="97"/>
  <c r="G62" i="97"/>
  <c r="F62" i="97"/>
  <c r="E62" i="97"/>
  <c r="A63" i="97"/>
  <c r="A62" i="88"/>
  <c r="E61" i="88"/>
  <c r="F61" i="88"/>
  <c r="B61" i="88"/>
  <c r="G61" i="88"/>
  <c r="D56" i="103"/>
  <c r="C56" i="103"/>
  <c r="G60" i="100"/>
  <c r="E60" i="100"/>
  <c r="F60" i="100"/>
  <c r="B60" i="100"/>
  <c r="A61" i="100"/>
  <c r="D61" i="97"/>
  <c r="C61" i="97"/>
  <c r="A58" i="104"/>
  <c r="E57" i="104"/>
  <c r="B57" i="104"/>
  <c r="G57" i="104"/>
  <c r="F57" i="104"/>
  <c r="D58" i="101"/>
  <c r="C58" i="101"/>
  <c r="C56" i="104"/>
  <c r="D56" i="104"/>
  <c r="C61" i="96"/>
  <c r="D61" i="96"/>
  <c r="C60" i="98"/>
  <c r="D60" i="98"/>
  <c r="G59" i="101"/>
  <c r="A60" i="101"/>
  <c r="E59" i="101"/>
  <c r="B59" i="101"/>
  <c r="F59" i="101"/>
  <c r="C57" i="102"/>
  <c r="D57" i="102"/>
  <c r="A62" i="99"/>
  <c r="E61" i="99"/>
  <c r="B61" i="99"/>
  <c r="G61" i="99"/>
  <c r="F61" i="99"/>
  <c r="F62" i="95"/>
  <c r="G62" i="95"/>
  <c r="B62" i="95"/>
  <c r="A63" i="95"/>
  <c r="E62" i="95"/>
  <c r="G58" i="102"/>
  <c r="F58" i="102"/>
  <c r="E58" i="102"/>
  <c r="B58" i="102"/>
  <c r="A59" i="102"/>
  <c r="D60" i="99"/>
  <c r="C60" i="99"/>
  <c r="D61" i="95"/>
  <c r="C61" i="95"/>
  <c r="G62" i="96"/>
  <c r="F62" i="96"/>
  <c r="E62" i="96"/>
  <c r="B62" i="96"/>
  <c r="A63" i="96"/>
  <c r="C61" i="99" l="1"/>
  <c r="D61" i="99"/>
  <c r="G60" i="101"/>
  <c r="B60" i="101"/>
  <c r="A61" i="101"/>
  <c r="E60" i="101"/>
  <c r="F60" i="101"/>
  <c r="B61" i="100"/>
  <c r="F61" i="100"/>
  <c r="E61" i="100"/>
  <c r="G61" i="100"/>
  <c r="A62" i="100"/>
  <c r="D61" i="88"/>
  <c r="C61" i="88"/>
  <c r="C62" i="97"/>
  <c r="D62" i="97"/>
  <c r="C57" i="103"/>
  <c r="D57" i="103"/>
  <c r="G63" i="95"/>
  <c r="F63" i="95"/>
  <c r="B63" i="95"/>
  <c r="A64" i="95"/>
  <c r="E63" i="95"/>
  <c r="A63" i="99"/>
  <c r="E62" i="99"/>
  <c r="G62" i="99"/>
  <c r="F62" i="99"/>
  <c r="B62" i="99"/>
  <c r="D60" i="100"/>
  <c r="C60" i="100"/>
  <c r="B63" i="96"/>
  <c r="E63" i="96"/>
  <c r="A64" i="96"/>
  <c r="F63" i="96"/>
  <c r="G63" i="96"/>
  <c r="C62" i="95"/>
  <c r="D62" i="95"/>
  <c r="C62" i="96"/>
  <c r="D62" i="96"/>
  <c r="A60" i="102"/>
  <c r="G59" i="102"/>
  <c r="F59" i="102"/>
  <c r="B59" i="102"/>
  <c r="E59" i="102"/>
  <c r="C57" i="104"/>
  <c r="D57" i="104"/>
  <c r="G62" i="88"/>
  <c r="F62" i="88"/>
  <c r="A63" i="88"/>
  <c r="E62" i="88"/>
  <c r="B62" i="88"/>
  <c r="C61" i="98"/>
  <c r="D61" i="98"/>
  <c r="A59" i="103"/>
  <c r="E58" i="103"/>
  <c r="G58" i="103"/>
  <c r="F58" i="103"/>
  <c r="B58" i="103"/>
  <c r="D58" i="102"/>
  <c r="C58" i="102"/>
  <c r="G63" i="97"/>
  <c r="B63" i="97"/>
  <c r="A64" i="97"/>
  <c r="E63" i="97"/>
  <c r="F63" i="97"/>
  <c r="A63" i="98"/>
  <c r="G62" i="98"/>
  <c r="E62" i="98"/>
  <c r="B62" i="98"/>
  <c r="F62" i="98"/>
  <c r="C59" i="101"/>
  <c r="D59" i="101"/>
  <c r="F58" i="104"/>
  <c r="E58" i="104"/>
  <c r="G58" i="104"/>
  <c r="B58" i="104"/>
  <c r="A59" i="104"/>
  <c r="F60" i="102" l="1"/>
  <c r="B60" i="102"/>
  <c r="G60" i="102"/>
  <c r="E60" i="102"/>
  <c r="A61" i="102"/>
  <c r="A64" i="99"/>
  <c r="F63" i="99"/>
  <c r="B63" i="99"/>
  <c r="E63" i="99"/>
  <c r="G63" i="99"/>
  <c r="C61" i="100"/>
  <c r="D61" i="100"/>
  <c r="B64" i="97"/>
  <c r="F64" i="97"/>
  <c r="E64" i="97"/>
  <c r="A65" i="97"/>
  <c r="G64" i="97"/>
  <c r="C63" i="96"/>
  <c r="D63" i="96"/>
  <c r="D63" i="97"/>
  <c r="C63" i="97"/>
  <c r="A60" i="103"/>
  <c r="F59" i="103"/>
  <c r="B59" i="103"/>
  <c r="G59" i="103"/>
  <c r="E59" i="103"/>
  <c r="E64" i="95"/>
  <c r="A65" i="95"/>
  <c r="G64" i="95"/>
  <c r="F64" i="95"/>
  <c r="B64" i="95"/>
  <c r="D63" i="95"/>
  <c r="C63" i="95"/>
  <c r="F59" i="104"/>
  <c r="G59" i="104"/>
  <c r="A60" i="104"/>
  <c r="E59" i="104"/>
  <c r="B59" i="104"/>
  <c r="C62" i="98"/>
  <c r="D62" i="98"/>
  <c r="B61" i="101"/>
  <c r="G61" i="101"/>
  <c r="E61" i="101"/>
  <c r="F61" i="101"/>
  <c r="A62" i="101"/>
  <c r="C58" i="104"/>
  <c r="D58" i="104"/>
  <c r="D62" i="99"/>
  <c r="C62" i="99"/>
  <c r="F62" i="100"/>
  <c r="A63" i="100"/>
  <c r="B62" i="100"/>
  <c r="G62" i="100"/>
  <c r="E62" i="100"/>
  <c r="D60" i="101"/>
  <c r="C60" i="101"/>
  <c r="B63" i="88"/>
  <c r="A64" i="88"/>
  <c r="F63" i="88"/>
  <c r="E63" i="88"/>
  <c r="G63" i="88"/>
  <c r="C62" i="88"/>
  <c r="D62" i="88"/>
  <c r="D59" i="102"/>
  <c r="C59" i="102"/>
  <c r="E63" i="98"/>
  <c r="F63" i="98"/>
  <c r="A64" i="98"/>
  <c r="B63" i="98"/>
  <c r="G63" i="98"/>
  <c r="D58" i="103"/>
  <c r="C58" i="103"/>
  <c r="F64" i="96"/>
  <c r="E64" i="96"/>
  <c r="A65" i="96"/>
  <c r="B64" i="96"/>
  <c r="G64" i="96"/>
  <c r="B65" i="96" l="1"/>
  <c r="G65" i="96"/>
  <c r="E65" i="96"/>
  <c r="F65" i="96"/>
  <c r="A66" i="96"/>
  <c r="D59" i="103"/>
  <c r="C59" i="103"/>
  <c r="B65" i="97"/>
  <c r="E65" i="97"/>
  <c r="F65" i="97"/>
  <c r="G65" i="97"/>
  <c r="A66" i="97"/>
  <c r="D63" i="99"/>
  <c r="C63" i="99"/>
  <c r="D64" i="95"/>
  <c r="C64" i="95"/>
  <c r="C59" i="104"/>
  <c r="D59" i="104"/>
  <c r="F60" i="103"/>
  <c r="A61" i="103"/>
  <c r="G60" i="103"/>
  <c r="B60" i="103"/>
  <c r="E60" i="103"/>
  <c r="G64" i="99"/>
  <c r="A65" i="99"/>
  <c r="B64" i="99"/>
  <c r="E64" i="99"/>
  <c r="F64" i="99"/>
  <c r="C63" i="98"/>
  <c r="D63" i="98"/>
  <c r="B62" i="101"/>
  <c r="E62" i="101"/>
  <c r="A63" i="101"/>
  <c r="F62" i="101"/>
  <c r="G62" i="101"/>
  <c r="D64" i="97"/>
  <c r="C64" i="97"/>
  <c r="F61" i="102"/>
  <c r="B61" i="102"/>
  <c r="A62" i="102"/>
  <c r="E61" i="102"/>
  <c r="G61" i="102"/>
  <c r="D64" i="96"/>
  <c r="C64" i="96"/>
  <c r="G64" i="98"/>
  <c r="F64" i="98"/>
  <c r="B64" i="98"/>
  <c r="E64" i="98"/>
  <c r="A65" i="98"/>
  <c r="D62" i="100"/>
  <c r="C62" i="100"/>
  <c r="G60" i="104"/>
  <c r="A61" i="104"/>
  <c r="F60" i="104"/>
  <c r="E60" i="104"/>
  <c r="B60" i="104"/>
  <c r="G65" i="95"/>
  <c r="F65" i="95"/>
  <c r="A66" i="95"/>
  <c r="B65" i="95"/>
  <c r="E65" i="95"/>
  <c r="G64" i="88"/>
  <c r="E64" i="88"/>
  <c r="B64" i="88"/>
  <c r="F64" i="88"/>
  <c r="A65" i="88"/>
  <c r="D60" i="102"/>
  <c r="C60" i="102"/>
  <c r="G63" i="100"/>
  <c r="B63" i="100"/>
  <c r="F63" i="100"/>
  <c r="A64" i="100"/>
  <c r="E63" i="100"/>
  <c r="D63" i="88"/>
  <c r="C63" i="88"/>
  <c r="C61" i="101"/>
  <c r="D61" i="101"/>
  <c r="D65" i="95" l="1"/>
  <c r="C65" i="95"/>
  <c r="F66" i="95"/>
  <c r="B66" i="95"/>
  <c r="E66" i="95"/>
  <c r="A67" i="95"/>
  <c r="G66" i="95"/>
  <c r="E62" i="102"/>
  <c r="G62" i="102"/>
  <c r="A63" i="102"/>
  <c r="F62" i="102"/>
  <c r="B62" i="102"/>
  <c r="D65" i="97"/>
  <c r="C65" i="97"/>
  <c r="G66" i="97"/>
  <c r="B66" i="97"/>
  <c r="A67" i="97"/>
  <c r="F66" i="97"/>
  <c r="E66" i="97"/>
  <c r="E64" i="100"/>
  <c r="G64" i="100"/>
  <c r="F64" i="100"/>
  <c r="A65" i="100"/>
  <c r="B64" i="100"/>
  <c r="C60" i="104"/>
  <c r="D60" i="104"/>
  <c r="C64" i="98"/>
  <c r="D64" i="98"/>
  <c r="D61" i="102"/>
  <c r="C61" i="102"/>
  <c r="D62" i="101"/>
  <c r="C62" i="101"/>
  <c r="D64" i="88"/>
  <c r="C64" i="88"/>
  <c r="C63" i="100"/>
  <c r="D63" i="100"/>
  <c r="D60" i="103"/>
  <c r="C60" i="103"/>
  <c r="F61" i="104"/>
  <c r="G61" i="104"/>
  <c r="B61" i="104"/>
  <c r="E61" i="104"/>
  <c r="A62" i="104"/>
  <c r="B66" i="96"/>
  <c r="E66" i="96"/>
  <c r="G66" i="96"/>
  <c r="F66" i="96"/>
  <c r="A67" i="96"/>
  <c r="F61" i="103"/>
  <c r="B61" i="103"/>
  <c r="E61" i="103"/>
  <c r="A62" i="103"/>
  <c r="G61" i="103"/>
  <c r="E65" i="88"/>
  <c r="F65" i="88"/>
  <c r="A66" i="88"/>
  <c r="B65" i="88"/>
  <c r="G65" i="88"/>
  <c r="D64" i="99"/>
  <c r="C64" i="99"/>
  <c r="G65" i="98"/>
  <c r="A66" i="98"/>
  <c r="E65" i="98"/>
  <c r="B65" i="98"/>
  <c r="F65" i="98"/>
  <c r="B63" i="101"/>
  <c r="A64" i="101"/>
  <c r="F63" i="101"/>
  <c r="E63" i="101"/>
  <c r="G63" i="101"/>
  <c r="F65" i="99"/>
  <c r="E65" i="99"/>
  <c r="G65" i="99"/>
  <c r="A66" i="99"/>
  <c r="B65" i="99"/>
  <c r="C65" i="96"/>
  <c r="D65" i="96"/>
  <c r="E64" i="101" l="1"/>
  <c r="B64" i="101"/>
  <c r="G64" i="101"/>
  <c r="F64" i="101"/>
  <c r="A65" i="101"/>
  <c r="B66" i="88"/>
  <c r="F66" i="88"/>
  <c r="G66" i="88"/>
  <c r="A67" i="88"/>
  <c r="E66" i="88"/>
  <c r="A68" i="96"/>
  <c r="F67" i="96"/>
  <c r="B67" i="96"/>
  <c r="G67" i="96"/>
  <c r="E67" i="96"/>
  <c r="D64" i="100"/>
  <c r="C64" i="100"/>
  <c r="C66" i="97"/>
  <c r="D66" i="97"/>
  <c r="C65" i="99"/>
  <c r="D65" i="99"/>
  <c r="D65" i="98"/>
  <c r="C65" i="98"/>
  <c r="B65" i="100"/>
  <c r="G65" i="100"/>
  <c r="E65" i="100"/>
  <c r="A66" i="100"/>
  <c r="F65" i="100"/>
  <c r="D66" i="96"/>
  <c r="C66" i="96"/>
  <c r="G62" i="104"/>
  <c r="A63" i="104"/>
  <c r="B62" i="104"/>
  <c r="E62" i="104"/>
  <c r="F62" i="104"/>
  <c r="G66" i="98"/>
  <c r="B66" i="98"/>
  <c r="E66" i="98"/>
  <c r="F66" i="98"/>
  <c r="A67" i="98"/>
  <c r="B67" i="95"/>
  <c r="A68" i="95"/>
  <c r="E67" i="95"/>
  <c r="G67" i="95"/>
  <c r="F67" i="95"/>
  <c r="F62" i="103"/>
  <c r="E62" i="103"/>
  <c r="G62" i="103"/>
  <c r="A63" i="103"/>
  <c r="B62" i="103"/>
  <c r="C62" i="102"/>
  <c r="D62" i="102"/>
  <c r="F66" i="99"/>
  <c r="G66" i="99"/>
  <c r="B66" i="99"/>
  <c r="E66" i="99"/>
  <c r="A67" i="99"/>
  <c r="D63" i="101"/>
  <c r="C63" i="101"/>
  <c r="C61" i="103"/>
  <c r="D61" i="103"/>
  <c r="F63" i="102"/>
  <c r="A64" i="102"/>
  <c r="G63" i="102"/>
  <c r="E63" i="102"/>
  <c r="B63" i="102"/>
  <c r="C66" i="95"/>
  <c r="D66" i="95"/>
  <c r="C65" i="88"/>
  <c r="D65" i="88"/>
  <c r="C61" i="104"/>
  <c r="D61" i="104"/>
  <c r="B67" i="97"/>
  <c r="A68" i="97"/>
  <c r="E67" i="97"/>
  <c r="F67" i="97"/>
  <c r="G67" i="97"/>
  <c r="A68" i="98" l="1"/>
  <c r="E67" i="98"/>
  <c r="F67" i="98"/>
  <c r="B67" i="98"/>
  <c r="G67" i="98"/>
  <c r="G63" i="104"/>
  <c r="E63" i="104"/>
  <c r="F63" i="104"/>
  <c r="A64" i="104"/>
  <c r="B63" i="104"/>
  <c r="D65" i="100"/>
  <c r="C65" i="100"/>
  <c r="A65" i="102"/>
  <c r="F64" i="102"/>
  <c r="B64" i="102"/>
  <c r="G64" i="102"/>
  <c r="E64" i="102"/>
  <c r="C66" i="99"/>
  <c r="D66" i="99"/>
  <c r="D66" i="88"/>
  <c r="C66" i="88"/>
  <c r="A69" i="96"/>
  <c r="F68" i="96"/>
  <c r="G68" i="96"/>
  <c r="E68" i="96"/>
  <c r="B68" i="96"/>
  <c r="D66" i="98"/>
  <c r="C66" i="98"/>
  <c r="C67" i="96"/>
  <c r="D67" i="96"/>
  <c r="B65" i="101"/>
  <c r="E65" i="101"/>
  <c r="F65" i="101"/>
  <c r="G65" i="101"/>
  <c r="A66" i="101"/>
  <c r="A69" i="97"/>
  <c r="B68" i="97"/>
  <c r="G68" i="97"/>
  <c r="F68" i="97"/>
  <c r="E68" i="97"/>
  <c r="C63" i="102"/>
  <c r="D63" i="102"/>
  <c r="D62" i="103"/>
  <c r="C62" i="103"/>
  <c r="B68" i="95"/>
  <c r="E68" i="95"/>
  <c r="F68" i="95"/>
  <c r="A69" i="95"/>
  <c r="G68" i="95"/>
  <c r="C64" i="101"/>
  <c r="D64" i="101"/>
  <c r="E66" i="100"/>
  <c r="G66" i="100"/>
  <c r="A67" i="100"/>
  <c r="B66" i="100"/>
  <c r="F66" i="100"/>
  <c r="D67" i="97"/>
  <c r="C67" i="97"/>
  <c r="B67" i="99"/>
  <c r="F67" i="99"/>
  <c r="G67" i="99"/>
  <c r="E67" i="99"/>
  <c r="A68" i="99"/>
  <c r="A64" i="103"/>
  <c r="F63" i="103"/>
  <c r="E63" i="103"/>
  <c r="B63" i="103"/>
  <c r="G63" i="103"/>
  <c r="D67" i="95"/>
  <c r="C67" i="95"/>
  <c r="C62" i="104"/>
  <c r="D62" i="104"/>
  <c r="G67" i="88"/>
  <c r="B67" i="88"/>
  <c r="F67" i="88"/>
  <c r="A68" i="88"/>
  <c r="E67" i="88"/>
  <c r="G64" i="103" l="1"/>
  <c r="E64" i="103"/>
  <c r="B64" i="103"/>
  <c r="A65" i="103"/>
  <c r="F64" i="103"/>
  <c r="A70" i="95"/>
  <c r="G69" i="95"/>
  <c r="B69" i="95"/>
  <c r="E69" i="95"/>
  <c r="F69" i="95"/>
  <c r="D67" i="98"/>
  <c r="C67" i="98"/>
  <c r="A69" i="99"/>
  <c r="B68" i="99"/>
  <c r="F68" i="99"/>
  <c r="E68" i="99"/>
  <c r="G68" i="99"/>
  <c r="D66" i="100"/>
  <c r="C66" i="100"/>
  <c r="C65" i="101"/>
  <c r="D65" i="101"/>
  <c r="D64" i="102"/>
  <c r="C64" i="102"/>
  <c r="B68" i="88"/>
  <c r="A69" i="88"/>
  <c r="E68" i="88"/>
  <c r="G68" i="88"/>
  <c r="F68" i="88"/>
  <c r="C67" i="99"/>
  <c r="D67" i="99"/>
  <c r="A68" i="100"/>
  <c r="B67" i="100"/>
  <c r="G67" i="100"/>
  <c r="F67" i="100"/>
  <c r="E67" i="100"/>
  <c r="A70" i="96"/>
  <c r="G69" i="96"/>
  <c r="E69" i="96"/>
  <c r="F69" i="96"/>
  <c r="B69" i="96"/>
  <c r="E69" i="97"/>
  <c r="G69" i="97"/>
  <c r="A70" i="97"/>
  <c r="F69" i="97"/>
  <c r="B69" i="97"/>
  <c r="C68" i="95"/>
  <c r="D68" i="95"/>
  <c r="D68" i="97"/>
  <c r="C68" i="97"/>
  <c r="F65" i="102"/>
  <c r="E65" i="102"/>
  <c r="G65" i="102"/>
  <c r="B65" i="102"/>
  <c r="A66" i="102"/>
  <c r="E66" i="101"/>
  <c r="G66" i="101"/>
  <c r="B66" i="101"/>
  <c r="F66" i="101"/>
  <c r="A67" i="101"/>
  <c r="C67" i="88"/>
  <c r="D67" i="88"/>
  <c r="C68" i="96"/>
  <c r="D68" i="96"/>
  <c r="D63" i="104"/>
  <c r="C63" i="104"/>
  <c r="C63" i="103"/>
  <c r="D63" i="103"/>
  <c r="G64" i="104"/>
  <c r="F64" i="104"/>
  <c r="B64" i="104"/>
  <c r="E64" i="104"/>
  <c r="A65" i="104"/>
  <c r="B68" i="98"/>
  <c r="G68" i="98"/>
  <c r="E68" i="98"/>
  <c r="A69" i="98"/>
  <c r="F68" i="98"/>
  <c r="D69" i="96" l="1"/>
  <c r="C69" i="96"/>
  <c r="D67" i="100"/>
  <c r="C67" i="100"/>
  <c r="D68" i="88"/>
  <c r="C68" i="88"/>
  <c r="D69" i="95"/>
  <c r="C69" i="95"/>
  <c r="B68" i="100"/>
  <c r="G68" i="100"/>
  <c r="F68" i="100"/>
  <c r="A69" i="100"/>
  <c r="E68" i="100"/>
  <c r="A67" i="102"/>
  <c r="G66" i="102"/>
  <c r="B66" i="102"/>
  <c r="E66" i="102"/>
  <c r="F66" i="102"/>
  <c r="C68" i="99"/>
  <c r="D68" i="99"/>
  <c r="F70" i="95"/>
  <c r="E70" i="95"/>
  <c r="A71" i="95"/>
  <c r="G70" i="95"/>
  <c r="B70" i="95"/>
  <c r="D65" i="102"/>
  <c r="C65" i="102"/>
  <c r="C69" i="97"/>
  <c r="D69" i="97"/>
  <c r="B69" i="99"/>
  <c r="F69" i="99"/>
  <c r="G69" i="99"/>
  <c r="A70" i="99"/>
  <c r="E69" i="99"/>
  <c r="B70" i="96"/>
  <c r="A71" i="96"/>
  <c r="G70" i="96"/>
  <c r="F70" i="96"/>
  <c r="E70" i="96"/>
  <c r="G65" i="103"/>
  <c r="A66" i="103"/>
  <c r="B65" i="103"/>
  <c r="E65" i="103"/>
  <c r="F65" i="103"/>
  <c r="G65" i="104"/>
  <c r="E65" i="104"/>
  <c r="F65" i="104"/>
  <c r="A66" i="104"/>
  <c r="B65" i="104"/>
  <c r="F70" i="97"/>
  <c r="E70" i="97"/>
  <c r="G70" i="97"/>
  <c r="A71" i="97"/>
  <c r="B70" i="97"/>
  <c r="C64" i="103"/>
  <c r="D64" i="103"/>
  <c r="C64" i="104"/>
  <c r="D64" i="104"/>
  <c r="G67" i="101"/>
  <c r="B67" i="101"/>
  <c r="F67" i="101"/>
  <c r="E67" i="101"/>
  <c r="A68" i="101"/>
  <c r="E69" i="98"/>
  <c r="A70" i="98"/>
  <c r="G69" i="98"/>
  <c r="B69" i="98"/>
  <c r="F69" i="98"/>
  <c r="D68" i="98"/>
  <c r="C68" i="98"/>
  <c r="D66" i="101"/>
  <c r="C66" i="101"/>
  <c r="G69" i="88"/>
  <c r="E69" i="88"/>
  <c r="A70" i="88"/>
  <c r="F69" i="88"/>
  <c r="B69" i="88"/>
  <c r="A67" i="104" l="1"/>
  <c r="F66" i="104"/>
  <c r="G66" i="104"/>
  <c r="B66" i="104"/>
  <c r="E66" i="104"/>
  <c r="C66" i="102"/>
  <c r="D66" i="102"/>
  <c r="A69" i="101"/>
  <c r="G68" i="101"/>
  <c r="B68" i="101"/>
  <c r="F68" i="101"/>
  <c r="E68" i="101"/>
  <c r="G71" i="95"/>
  <c r="B71" i="95"/>
  <c r="A72" i="95"/>
  <c r="E71" i="95"/>
  <c r="F71" i="95"/>
  <c r="D70" i="97"/>
  <c r="C70" i="97"/>
  <c r="D69" i="99"/>
  <c r="C69" i="99"/>
  <c r="G67" i="102"/>
  <c r="B67" i="102"/>
  <c r="E67" i="102"/>
  <c r="A68" i="102"/>
  <c r="F67" i="102"/>
  <c r="G71" i="97"/>
  <c r="E71" i="97"/>
  <c r="A72" i="97"/>
  <c r="B71" i="97"/>
  <c r="F71" i="97"/>
  <c r="A72" i="96"/>
  <c r="F71" i="96"/>
  <c r="B71" i="96"/>
  <c r="G71" i="96"/>
  <c r="E71" i="96"/>
  <c r="F69" i="100"/>
  <c r="A70" i="100"/>
  <c r="G69" i="100"/>
  <c r="E69" i="100"/>
  <c r="B69" i="100"/>
  <c r="C69" i="88"/>
  <c r="D69" i="88"/>
  <c r="G70" i="88"/>
  <c r="B70" i="88"/>
  <c r="E70" i="88"/>
  <c r="A71" i="88"/>
  <c r="F70" i="88"/>
  <c r="D69" i="98"/>
  <c r="C69" i="98"/>
  <c r="D70" i="96"/>
  <c r="C70" i="96"/>
  <c r="C67" i="101"/>
  <c r="D67" i="101"/>
  <c r="C65" i="103"/>
  <c r="D65" i="103"/>
  <c r="G70" i="98"/>
  <c r="E70" i="98"/>
  <c r="B70" i="98"/>
  <c r="F70" i="98"/>
  <c r="A71" i="98"/>
  <c r="D65" i="104"/>
  <c r="C65" i="104"/>
  <c r="F66" i="103"/>
  <c r="A67" i="103"/>
  <c r="E66" i="103"/>
  <c r="B66" i="103"/>
  <c r="G66" i="103"/>
  <c r="E70" i="99"/>
  <c r="G70" i="99"/>
  <c r="A71" i="99"/>
  <c r="B70" i="99"/>
  <c r="F70" i="99"/>
  <c r="D70" i="95"/>
  <c r="C70" i="95"/>
  <c r="C68" i="100"/>
  <c r="D68" i="100"/>
  <c r="C70" i="99" l="1"/>
  <c r="D70" i="99"/>
  <c r="A72" i="99"/>
  <c r="E71" i="99"/>
  <c r="G71" i="99"/>
  <c r="F71" i="99"/>
  <c r="B71" i="99"/>
  <c r="B71" i="88"/>
  <c r="F71" i="88"/>
  <c r="A72" i="88"/>
  <c r="E71" i="88"/>
  <c r="G71" i="88"/>
  <c r="D67" i="102"/>
  <c r="C67" i="102"/>
  <c r="E72" i="95"/>
  <c r="F72" i="95"/>
  <c r="A73" i="95"/>
  <c r="B72" i="95"/>
  <c r="G72" i="95"/>
  <c r="B69" i="101"/>
  <c r="E69" i="101"/>
  <c r="A70" i="101"/>
  <c r="F69" i="101"/>
  <c r="G69" i="101"/>
  <c r="F70" i="100"/>
  <c r="G70" i="100"/>
  <c r="A71" i="100"/>
  <c r="E70" i="100"/>
  <c r="B70" i="100"/>
  <c r="C71" i="97"/>
  <c r="D71" i="97"/>
  <c r="D71" i="95"/>
  <c r="C71" i="95"/>
  <c r="A72" i="98"/>
  <c r="G71" i="98"/>
  <c r="E71" i="98"/>
  <c r="F71" i="98"/>
  <c r="B71" i="98"/>
  <c r="C70" i="88"/>
  <c r="D70" i="88"/>
  <c r="E72" i="97"/>
  <c r="A73" i="97"/>
  <c r="F72" i="97"/>
  <c r="B72" i="97"/>
  <c r="G72" i="97"/>
  <c r="C66" i="103"/>
  <c r="D66" i="103"/>
  <c r="D70" i="98"/>
  <c r="C70" i="98"/>
  <c r="F72" i="96"/>
  <c r="B72" i="96"/>
  <c r="A73" i="96"/>
  <c r="G72" i="96"/>
  <c r="E72" i="96"/>
  <c r="D66" i="104"/>
  <c r="C66" i="104"/>
  <c r="C71" i="96"/>
  <c r="D71" i="96"/>
  <c r="C68" i="101"/>
  <c r="D68" i="101"/>
  <c r="B67" i="103"/>
  <c r="F67" i="103"/>
  <c r="G67" i="103"/>
  <c r="A68" i="103"/>
  <c r="E67" i="103"/>
  <c r="C69" i="100"/>
  <c r="D69" i="100"/>
  <c r="E68" i="102"/>
  <c r="A69" i="102"/>
  <c r="F68" i="102"/>
  <c r="B68" i="102"/>
  <c r="G68" i="102"/>
  <c r="G67" i="104"/>
  <c r="B67" i="104"/>
  <c r="F67" i="104"/>
  <c r="A68" i="104"/>
  <c r="E67" i="104"/>
  <c r="C71" i="88" l="1"/>
  <c r="D71" i="88"/>
  <c r="B73" i="96"/>
  <c r="A74" i="96"/>
  <c r="F73" i="96"/>
  <c r="G73" i="96"/>
  <c r="E73" i="96"/>
  <c r="G68" i="103"/>
  <c r="B68" i="103"/>
  <c r="A69" i="103"/>
  <c r="E68" i="103"/>
  <c r="F68" i="103"/>
  <c r="C68" i="102"/>
  <c r="D68" i="102"/>
  <c r="D71" i="99"/>
  <c r="C71" i="99"/>
  <c r="C72" i="97"/>
  <c r="D72" i="97"/>
  <c r="D69" i="101"/>
  <c r="C69" i="101"/>
  <c r="D72" i="96"/>
  <c r="C72" i="96"/>
  <c r="C71" i="98"/>
  <c r="D71" i="98"/>
  <c r="E70" i="101"/>
  <c r="A71" i="101"/>
  <c r="F70" i="101"/>
  <c r="G70" i="101"/>
  <c r="B70" i="101"/>
  <c r="B69" i="102"/>
  <c r="A70" i="102"/>
  <c r="E69" i="102"/>
  <c r="F69" i="102"/>
  <c r="G69" i="102"/>
  <c r="C67" i="103"/>
  <c r="D67" i="103"/>
  <c r="D70" i="100"/>
  <c r="C70" i="100"/>
  <c r="B68" i="104"/>
  <c r="G68" i="104"/>
  <c r="F68" i="104"/>
  <c r="E68" i="104"/>
  <c r="A69" i="104"/>
  <c r="G71" i="100"/>
  <c r="B71" i="100"/>
  <c r="A72" i="100"/>
  <c r="E71" i="100"/>
  <c r="F71" i="100"/>
  <c r="B73" i="97"/>
  <c r="G73" i="97"/>
  <c r="E73" i="97"/>
  <c r="F73" i="97"/>
  <c r="A74" i="97"/>
  <c r="B72" i="98"/>
  <c r="A73" i="98"/>
  <c r="F72" i="98"/>
  <c r="E72" i="98"/>
  <c r="G72" i="98"/>
  <c r="D72" i="95"/>
  <c r="C72" i="95"/>
  <c r="F72" i="88"/>
  <c r="B72" i="88"/>
  <c r="G72" i="88"/>
  <c r="A73" i="88"/>
  <c r="E72" i="88"/>
  <c r="B72" i="99"/>
  <c r="A73" i="99"/>
  <c r="F72" i="99"/>
  <c r="G72" i="99"/>
  <c r="E72" i="99"/>
  <c r="C67" i="104"/>
  <c r="D67" i="104"/>
  <c r="F73" i="95"/>
  <c r="G73" i="95"/>
  <c r="B73" i="95"/>
  <c r="A74" i="95"/>
  <c r="E73" i="95"/>
  <c r="C68" i="104" l="1"/>
  <c r="D68" i="104"/>
  <c r="F70" i="102"/>
  <c r="G70" i="102"/>
  <c r="E70" i="102"/>
  <c r="A71" i="102"/>
  <c r="B70" i="102"/>
  <c r="D72" i="88"/>
  <c r="C72" i="88"/>
  <c r="C72" i="98"/>
  <c r="D72" i="98"/>
  <c r="B72" i="100"/>
  <c r="A73" i="100"/>
  <c r="E72" i="100"/>
  <c r="F72" i="100"/>
  <c r="G72" i="100"/>
  <c r="D69" i="102"/>
  <c r="C69" i="102"/>
  <c r="F73" i="98"/>
  <c r="B73" i="98"/>
  <c r="G73" i="98"/>
  <c r="A74" i="98"/>
  <c r="E73" i="98"/>
  <c r="G74" i="97"/>
  <c r="A75" i="97"/>
  <c r="F74" i="97"/>
  <c r="B74" i="97"/>
  <c r="E74" i="97"/>
  <c r="D71" i="100"/>
  <c r="C71" i="100"/>
  <c r="D70" i="101"/>
  <c r="C70" i="101"/>
  <c r="F74" i="95"/>
  <c r="E74" i="95"/>
  <c r="B74" i="95"/>
  <c r="A75" i="95"/>
  <c r="G74" i="95"/>
  <c r="A75" i="96"/>
  <c r="E74" i="96"/>
  <c r="B74" i="96"/>
  <c r="G74" i="96"/>
  <c r="F74" i="96"/>
  <c r="B73" i="99"/>
  <c r="G73" i="99"/>
  <c r="A74" i="99"/>
  <c r="F73" i="99"/>
  <c r="E73" i="99"/>
  <c r="A70" i="104"/>
  <c r="B69" i="104"/>
  <c r="E69" i="104"/>
  <c r="F69" i="104"/>
  <c r="G69" i="104"/>
  <c r="D73" i="96"/>
  <c r="C73" i="96"/>
  <c r="E73" i="88"/>
  <c r="B73" i="88"/>
  <c r="F73" i="88"/>
  <c r="G73" i="88"/>
  <c r="A74" i="88"/>
  <c r="D73" i="95"/>
  <c r="C73" i="95"/>
  <c r="C72" i="99"/>
  <c r="D72" i="99"/>
  <c r="E71" i="101"/>
  <c r="A72" i="101"/>
  <c r="F71" i="101"/>
  <c r="G71" i="101"/>
  <c r="B71" i="101"/>
  <c r="E69" i="103"/>
  <c r="B69" i="103"/>
  <c r="A70" i="103"/>
  <c r="F69" i="103"/>
  <c r="G69" i="103"/>
  <c r="D73" i="97"/>
  <c r="C73" i="97"/>
  <c r="C68" i="103"/>
  <c r="D68" i="103"/>
  <c r="D73" i="88" l="1"/>
  <c r="C73" i="88"/>
  <c r="B70" i="104"/>
  <c r="G70" i="104"/>
  <c r="A71" i="104"/>
  <c r="F70" i="104"/>
  <c r="E70" i="104"/>
  <c r="D74" i="96"/>
  <c r="C74" i="96"/>
  <c r="G70" i="103"/>
  <c r="F70" i="103"/>
  <c r="E70" i="103"/>
  <c r="B70" i="103"/>
  <c r="A71" i="103"/>
  <c r="D70" i="102"/>
  <c r="C70" i="102"/>
  <c r="E75" i="96"/>
  <c r="F75" i="96"/>
  <c r="G75" i="96"/>
  <c r="A76" i="96"/>
  <c r="B75" i="96"/>
  <c r="G74" i="98"/>
  <c r="F74" i="98"/>
  <c r="A75" i="98"/>
  <c r="B74" i="98"/>
  <c r="E74" i="98"/>
  <c r="E71" i="102"/>
  <c r="F71" i="102"/>
  <c r="A72" i="102"/>
  <c r="G71" i="102"/>
  <c r="B71" i="102"/>
  <c r="E74" i="99"/>
  <c r="F74" i="99"/>
  <c r="B74" i="99"/>
  <c r="G74" i="99"/>
  <c r="A75" i="99"/>
  <c r="B73" i="100"/>
  <c r="E73" i="100"/>
  <c r="A74" i="100"/>
  <c r="G73" i="100"/>
  <c r="F73" i="100"/>
  <c r="F75" i="95"/>
  <c r="B75" i="95"/>
  <c r="A76" i="95"/>
  <c r="E75" i="95"/>
  <c r="G75" i="95"/>
  <c r="C73" i="98"/>
  <c r="D73" i="98"/>
  <c r="C72" i="100"/>
  <c r="D72" i="100"/>
  <c r="C69" i="103"/>
  <c r="D69" i="103"/>
  <c r="D71" i="101"/>
  <c r="C71" i="101"/>
  <c r="G74" i="88"/>
  <c r="F74" i="88"/>
  <c r="A75" i="88"/>
  <c r="E74" i="88"/>
  <c r="B74" i="88"/>
  <c r="D73" i="99"/>
  <c r="C73" i="99"/>
  <c r="C74" i="95"/>
  <c r="D74" i="95"/>
  <c r="D74" i="97"/>
  <c r="C74" i="97"/>
  <c r="B72" i="101"/>
  <c r="F72" i="101"/>
  <c r="A73" i="101"/>
  <c r="G72" i="101"/>
  <c r="E72" i="101"/>
  <c r="C69" i="104"/>
  <c r="D69" i="104"/>
  <c r="E75" i="97"/>
  <c r="G75" i="97"/>
  <c r="B75" i="97"/>
  <c r="A76" i="97"/>
  <c r="F75" i="97"/>
  <c r="G75" i="98" l="1"/>
  <c r="E75" i="98"/>
  <c r="A76" i="98"/>
  <c r="B75" i="98"/>
  <c r="F75" i="98"/>
  <c r="F74" i="100"/>
  <c r="G74" i="100"/>
  <c r="A75" i="100"/>
  <c r="E74" i="100"/>
  <c r="B74" i="100"/>
  <c r="C71" i="102"/>
  <c r="D71" i="102"/>
  <c r="A72" i="103"/>
  <c r="F71" i="103"/>
  <c r="B71" i="103"/>
  <c r="G71" i="103"/>
  <c r="E71" i="103"/>
  <c r="D73" i="100"/>
  <c r="C73" i="100"/>
  <c r="A73" i="102"/>
  <c r="B72" i="102"/>
  <c r="G72" i="102"/>
  <c r="F72" i="102"/>
  <c r="E72" i="102"/>
  <c r="C75" i="96"/>
  <c r="D75" i="96"/>
  <c r="C70" i="103"/>
  <c r="D70" i="103"/>
  <c r="E71" i="104"/>
  <c r="B71" i="104"/>
  <c r="F71" i="104"/>
  <c r="A72" i="104"/>
  <c r="G71" i="104"/>
  <c r="A77" i="97"/>
  <c r="G76" i="97"/>
  <c r="F76" i="97"/>
  <c r="B76" i="97"/>
  <c r="E76" i="97"/>
  <c r="E76" i="95"/>
  <c r="F76" i="95"/>
  <c r="B76" i="95"/>
  <c r="G76" i="95"/>
  <c r="A77" i="95"/>
  <c r="B75" i="99"/>
  <c r="G75" i="99"/>
  <c r="F75" i="99"/>
  <c r="A76" i="99"/>
  <c r="E75" i="99"/>
  <c r="F76" i="96"/>
  <c r="B76" i="96"/>
  <c r="E76" i="96"/>
  <c r="G76" i="96"/>
  <c r="A77" i="96"/>
  <c r="C74" i="88"/>
  <c r="D74" i="88"/>
  <c r="D75" i="95"/>
  <c r="C75" i="95"/>
  <c r="D70" i="104"/>
  <c r="C70" i="104"/>
  <c r="F73" i="101"/>
  <c r="E73" i="101"/>
  <c r="B73" i="101"/>
  <c r="G73" i="101"/>
  <c r="A74" i="101"/>
  <c r="D72" i="101"/>
  <c r="C72" i="101"/>
  <c r="C74" i="99"/>
  <c r="D74" i="99"/>
  <c r="D75" i="97"/>
  <c r="C75" i="97"/>
  <c r="A76" i="88"/>
  <c r="E75" i="88"/>
  <c r="B75" i="88"/>
  <c r="F75" i="88"/>
  <c r="G75" i="88"/>
  <c r="D74" i="98"/>
  <c r="C74" i="98"/>
  <c r="A76" i="100" l="1"/>
  <c r="E75" i="100"/>
  <c r="B75" i="100"/>
  <c r="F75" i="100"/>
  <c r="G75" i="100"/>
  <c r="C75" i="99"/>
  <c r="D75" i="99"/>
  <c r="D75" i="98"/>
  <c r="C75" i="98"/>
  <c r="G72" i="104"/>
  <c r="A73" i="104"/>
  <c r="F72" i="104"/>
  <c r="B72" i="104"/>
  <c r="E72" i="104"/>
  <c r="B76" i="99"/>
  <c r="F76" i="99"/>
  <c r="E76" i="99"/>
  <c r="A77" i="99"/>
  <c r="G76" i="99"/>
  <c r="D71" i="103"/>
  <c r="C71" i="103"/>
  <c r="F76" i="88"/>
  <c r="B76" i="88"/>
  <c r="A77" i="88"/>
  <c r="E76" i="88"/>
  <c r="G76" i="88"/>
  <c r="D73" i="101"/>
  <c r="C73" i="101"/>
  <c r="C71" i="104"/>
  <c r="D71" i="104"/>
  <c r="A75" i="101"/>
  <c r="F74" i="101"/>
  <c r="G74" i="101"/>
  <c r="B74" i="101"/>
  <c r="E74" i="101"/>
  <c r="F77" i="96"/>
  <c r="B77" i="96"/>
  <c r="G77" i="96"/>
  <c r="E77" i="96"/>
  <c r="A78" i="96"/>
  <c r="D76" i="97"/>
  <c r="C76" i="97"/>
  <c r="C72" i="102"/>
  <c r="D72" i="102"/>
  <c r="F72" i="103"/>
  <c r="A73" i="103"/>
  <c r="E72" i="103"/>
  <c r="G72" i="103"/>
  <c r="B72" i="103"/>
  <c r="E73" i="102"/>
  <c r="A74" i="102"/>
  <c r="B73" i="102"/>
  <c r="F73" i="102"/>
  <c r="G73" i="102"/>
  <c r="G77" i="95"/>
  <c r="F77" i="95"/>
  <c r="E77" i="95"/>
  <c r="A78" i="95"/>
  <c r="B77" i="95"/>
  <c r="F76" i="98"/>
  <c r="A77" i="98"/>
  <c r="B76" i="98"/>
  <c r="G76" i="98"/>
  <c r="E76" i="98"/>
  <c r="D76" i="96"/>
  <c r="C76" i="96"/>
  <c r="F77" i="97"/>
  <c r="E77" i="97"/>
  <c r="B77" i="97"/>
  <c r="G77" i="97"/>
  <c r="A78" i="97"/>
  <c r="C74" i="100"/>
  <c r="D74" i="100"/>
  <c r="D75" i="88"/>
  <c r="C75" i="88"/>
  <c r="C76" i="95"/>
  <c r="D76" i="95"/>
  <c r="G78" i="97" l="1"/>
  <c r="F78" i="97"/>
  <c r="B78" i="97"/>
  <c r="E78" i="97"/>
  <c r="A79" i="97"/>
  <c r="B75" i="101"/>
  <c r="F75" i="101"/>
  <c r="A76" i="101"/>
  <c r="E75" i="101"/>
  <c r="G75" i="101"/>
  <c r="C76" i="88"/>
  <c r="D76" i="88"/>
  <c r="C76" i="99"/>
  <c r="D76" i="99"/>
  <c r="A79" i="96"/>
  <c r="B78" i="96"/>
  <c r="E78" i="96"/>
  <c r="G78" i="96"/>
  <c r="F78" i="96"/>
  <c r="G73" i="103"/>
  <c r="A74" i="103"/>
  <c r="E73" i="103"/>
  <c r="B73" i="103"/>
  <c r="F73" i="103"/>
  <c r="C77" i="97"/>
  <c r="D77" i="97"/>
  <c r="F77" i="98"/>
  <c r="B77" i="98"/>
  <c r="A78" i="98"/>
  <c r="E77" i="98"/>
  <c r="G77" i="98"/>
  <c r="C77" i="96"/>
  <c r="D77" i="96"/>
  <c r="D72" i="104"/>
  <c r="C72" i="104"/>
  <c r="D73" i="102"/>
  <c r="C73" i="102"/>
  <c r="F77" i="88"/>
  <c r="E77" i="88"/>
  <c r="B77" i="88"/>
  <c r="A78" i="88"/>
  <c r="G77" i="88"/>
  <c r="D77" i="95"/>
  <c r="C77" i="95"/>
  <c r="A75" i="102"/>
  <c r="E74" i="102"/>
  <c r="G74" i="102"/>
  <c r="F74" i="102"/>
  <c r="B74" i="102"/>
  <c r="E73" i="104"/>
  <c r="A74" i="104"/>
  <c r="B73" i="104"/>
  <c r="G73" i="104"/>
  <c r="F73" i="104"/>
  <c r="C75" i="100"/>
  <c r="D75" i="100"/>
  <c r="D76" i="98"/>
  <c r="C76" i="98"/>
  <c r="F78" i="95"/>
  <c r="E78" i="95"/>
  <c r="B78" i="95"/>
  <c r="G78" i="95"/>
  <c r="A79" i="95"/>
  <c r="D74" i="101"/>
  <c r="C74" i="101"/>
  <c r="E77" i="99"/>
  <c r="B77" i="99"/>
  <c r="G77" i="99"/>
  <c r="F77" i="99"/>
  <c r="A78" i="99"/>
  <c r="C72" i="103"/>
  <c r="D72" i="103"/>
  <c r="F76" i="100"/>
  <c r="E76" i="100"/>
  <c r="B76" i="100"/>
  <c r="G76" i="100"/>
  <c r="A77" i="100"/>
  <c r="D77" i="88" l="1"/>
  <c r="C77" i="88"/>
  <c r="C78" i="96"/>
  <c r="D78" i="96"/>
  <c r="F76" i="101"/>
  <c r="B76" i="101"/>
  <c r="G76" i="101"/>
  <c r="A77" i="101"/>
  <c r="E76" i="101"/>
  <c r="A80" i="95"/>
  <c r="G79" i="95"/>
  <c r="F79" i="95"/>
  <c r="E79" i="95"/>
  <c r="B79" i="95"/>
  <c r="D73" i="103"/>
  <c r="C73" i="103"/>
  <c r="B79" i="96"/>
  <c r="F79" i="96"/>
  <c r="A80" i="96"/>
  <c r="G79" i="96"/>
  <c r="E79" i="96"/>
  <c r="G78" i="99"/>
  <c r="A79" i="99"/>
  <c r="E78" i="99"/>
  <c r="B78" i="99"/>
  <c r="F78" i="99"/>
  <c r="D75" i="101"/>
  <c r="C75" i="101"/>
  <c r="E75" i="102"/>
  <c r="B75" i="102"/>
  <c r="G75" i="102"/>
  <c r="A76" i="102"/>
  <c r="F75" i="102"/>
  <c r="E78" i="98"/>
  <c r="F78" i="98"/>
  <c r="B78" i="98"/>
  <c r="G78" i="98"/>
  <c r="A79" i="98"/>
  <c r="E74" i="103"/>
  <c r="B74" i="103"/>
  <c r="A75" i="103"/>
  <c r="F74" i="103"/>
  <c r="G74" i="103"/>
  <c r="A80" i="97"/>
  <c r="G79" i="97"/>
  <c r="E79" i="97"/>
  <c r="F79" i="97"/>
  <c r="B79" i="97"/>
  <c r="F77" i="100"/>
  <c r="E77" i="100"/>
  <c r="G77" i="100"/>
  <c r="A78" i="100"/>
  <c r="B77" i="100"/>
  <c r="C78" i="95"/>
  <c r="D78" i="95"/>
  <c r="D73" i="104"/>
  <c r="C73" i="104"/>
  <c r="C77" i="98"/>
  <c r="D77" i="98"/>
  <c r="C76" i="100"/>
  <c r="D76" i="100"/>
  <c r="D77" i="99"/>
  <c r="C77" i="99"/>
  <c r="F74" i="104"/>
  <c r="B74" i="104"/>
  <c r="E74" i="104"/>
  <c r="A75" i="104"/>
  <c r="G74" i="104"/>
  <c r="C78" i="97"/>
  <c r="D78" i="97"/>
  <c r="D74" i="102"/>
  <c r="C74" i="102"/>
  <c r="G78" i="88"/>
  <c r="F78" i="88"/>
  <c r="E78" i="88"/>
  <c r="B78" i="88"/>
  <c r="A79" i="88"/>
  <c r="B77" i="101" l="1"/>
  <c r="F77" i="101"/>
  <c r="G77" i="101"/>
  <c r="A78" i="101"/>
  <c r="E77" i="101"/>
  <c r="G79" i="99"/>
  <c r="F79" i="99"/>
  <c r="E79" i="99"/>
  <c r="A80" i="99"/>
  <c r="B79" i="99"/>
  <c r="G79" i="98"/>
  <c r="E79" i="98"/>
  <c r="F79" i="98"/>
  <c r="A80" i="98"/>
  <c r="B79" i="98"/>
  <c r="D75" i="102"/>
  <c r="C75" i="102"/>
  <c r="C79" i="95"/>
  <c r="D79" i="95"/>
  <c r="C76" i="101"/>
  <c r="D76" i="101"/>
  <c r="C74" i="103"/>
  <c r="D74" i="103"/>
  <c r="D77" i="100"/>
  <c r="C77" i="100"/>
  <c r="C79" i="97"/>
  <c r="D79" i="97"/>
  <c r="E79" i="88"/>
  <c r="F79" i="88"/>
  <c r="G79" i="88"/>
  <c r="A80" i="88"/>
  <c r="B79" i="88"/>
  <c r="C78" i="88"/>
  <c r="D78" i="88"/>
  <c r="E78" i="100"/>
  <c r="G78" i="100"/>
  <c r="A79" i="100"/>
  <c r="F78" i="100"/>
  <c r="B78" i="100"/>
  <c r="A81" i="97"/>
  <c r="G80" i="97"/>
  <c r="E80" i="97"/>
  <c r="B80" i="97"/>
  <c r="F80" i="97"/>
  <c r="C78" i="98"/>
  <c r="D78" i="98"/>
  <c r="A77" i="102"/>
  <c r="E76" i="102"/>
  <c r="G76" i="102"/>
  <c r="B76" i="102"/>
  <c r="F76" i="102"/>
  <c r="G75" i="104"/>
  <c r="B75" i="104"/>
  <c r="E75" i="104"/>
  <c r="F75" i="104"/>
  <c r="A76" i="104"/>
  <c r="E80" i="96"/>
  <c r="B80" i="96"/>
  <c r="G80" i="96"/>
  <c r="F80" i="96"/>
  <c r="A81" i="96"/>
  <c r="F80" i="95"/>
  <c r="B80" i="95"/>
  <c r="E80" i="95"/>
  <c r="G80" i="95"/>
  <c r="A81" i="95"/>
  <c r="C74" i="104"/>
  <c r="D74" i="104"/>
  <c r="A76" i="103"/>
  <c r="G75" i="103"/>
  <c r="F75" i="103"/>
  <c r="B75" i="103"/>
  <c r="E75" i="103"/>
  <c r="C78" i="99"/>
  <c r="D78" i="99"/>
  <c r="D79" i="96"/>
  <c r="C79" i="96"/>
  <c r="D75" i="103" l="1"/>
  <c r="C75" i="103"/>
  <c r="B77" i="102"/>
  <c r="A78" i="102"/>
  <c r="F77" i="102"/>
  <c r="G77" i="102"/>
  <c r="E77" i="102"/>
  <c r="C78" i="100"/>
  <c r="D78" i="100"/>
  <c r="E80" i="88"/>
  <c r="B80" i="88"/>
  <c r="F80" i="88"/>
  <c r="G80" i="88"/>
  <c r="A81" i="88"/>
  <c r="C79" i="98"/>
  <c r="D79" i="98"/>
  <c r="A81" i="98"/>
  <c r="E80" i="98"/>
  <c r="G80" i="98"/>
  <c r="B80" i="98"/>
  <c r="F80" i="98"/>
  <c r="A82" i="97"/>
  <c r="E81" i="97"/>
  <c r="F81" i="97"/>
  <c r="G81" i="97"/>
  <c r="B81" i="97"/>
  <c r="B76" i="103"/>
  <c r="F76" i="103"/>
  <c r="G76" i="103"/>
  <c r="A77" i="103"/>
  <c r="E76" i="103"/>
  <c r="G81" i="96"/>
  <c r="A82" i="96"/>
  <c r="E81" i="96"/>
  <c r="B81" i="96"/>
  <c r="F81" i="96"/>
  <c r="D75" i="104"/>
  <c r="C75" i="104"/>
  <c r="E79" i="100"/>
  <c r="A80" i="100"/>
  <c r="G79" i="100"/>
  <c r="F79" i="100"/>
  <c r="B79" i="100"/>
  <c r="F78" i="101"/>
  <c r="E78" i="101"/>
  <c r="B78" i="101"/>
  <c r="G78" i="101"/>
  <c r="A79" i="101"/>
  <c r="B76" i="104"/>
  <c r="A77" i="104"/>
  <c r="E76" i="104"/>
  <c r="F76" i="104"/>
  <c r="G76" i="104"/>
  <c r="D80" i="97"/>
  <c r="C80" i="97"/>
  <c r="C79" i="88"/>
  <c r="D79" i="88"/>
  <c r="F81" i="95"/>
  <c r="E81" i="95"/>
  <c r="G81" i="95"/>
  <c r="A82" i="95"/>
  <c r="B81" i="95"/>
  <c r="D80" i="96"/>
  <c r="C80" i="96"/>
  <c r="C76" i="102"/>
  <c r="D76" i="102"/>
  <c r="C79" i="99"/>
  <c r="D79" i="99"/>
  <c r="D80" i="95"/>
  <c r="C80" i="95"/>
  <c r="E80" i="99"/>
  <c r="A81" i="99"/>
  <c r="G80" i="99"/>
  <c r="F80" i="99"/>
  <c r="B80" i="99"/>
  <c r="D77" i="101"/>
  <c r="C77" i="101"/>
  <c r="G81" i="99" l="1"/>
  <c r="A82" i="99"/>
  <c r="B81" i="99"/>
  <c r="F81" i="99"/>
  <c r="E81" i="99"/>
  <c r="C81" i="95"/>
  <c r="D81" i="95"/>
  <c r="D78" i="101"/>
  <c r="C78" i="101"/>
  <c r="A78" i="103"/>
  <c r="F77" i="103"/>
  <c r="E77" i="103"/>
  <c r="G77" i="103"/>
  <c r="B77" i="103"/>
  <c r="F82" i="97"/>
  <c r="A83" i="97"/>
  <c r="E82" i="97"/>
  <c r="B82" i="97"/>
  <c r="G82" i="97"/>
  <c r="A82" i="88"/>
  <c r="E81" i="88"/>
  <c r="B81" i="88"/>
  <c r="F81" i="88"/>
  <c r="G81" i="88"/>
  <c r="F79" i="101"/>
  <c r="G79" i="101"/>
  <c r="A80" i="101"/>
  <c r="B79" i="101"/>
  <c r="E79" i="101"/>
  <c r="E82" i="95"/>
  <c r="G82" i="95"/>
  <c r="B82" i="95"/>
  <c r="A83" i="95"/>
  <c r="F82" i="95"/>
  <c r="D80" i="98"/>
  <c r="C80" i="98"/>
  <c r="F78" i="102"/>
  <c r="G78" i="102"/>
  <c r="B78" i="102"/>
  <c r="A79" i="102"/>
  <c r="E78" i="102"/>
  <c r="D79" i="100"/>
  <c r="C79" i="100"/>
  <c r="D81" i="96"/>
  <c r="C81" i="96"/>
  <c r="C76" i="103"/>
  <c r="D76" i="103"/>
  <c r="D80" i="88"/>
  <c r="C80" i="88"/>
  <c r="C77" i="102"/>
  <c r="D77" i="102"/>
  <c r="B80" i="100"/>
  <c r="G80" i="100"/>
  <c r="A81" i="100"/>
  <c r="F80" i="100"/>
  <c r="E80" i="100"/>
  <c r="E77" i="104"/>
  <c r="G77" i="104"/>
  <c r="B77" i="104"/>
  <c r="F77" i="104"/>
  <c r="A78" i="104"/>
  <c r="C81" i="97"/>
  <c r="D81" i="97"/>
  <c r="D80" i="99"/>
  <c r="C80" i="99"/>
  <c r="D76" i="104"/>
  <c r="C76" i="104"/>
  <c r="B82" i="96"/>
  <c r="A83" i="96"/>
  <c r="E82" i="96"/>
  <c r="F82" i="96"/>
  <c r="G82" i="96"/>
  <c r="B81" i="98"/>
  <c r="A82" i="98"/>
  <c r="E81" i="98"/>
  <c r="F81" i="98"/>
  <c r="G81" i="98"/>
  <c r="C82" i="95" l="1"/>
  <c r="D82" i="95"/>
  <c r="C78" i="102"/>
  <c r="D78" i="102"/>
  <c r="F81" i="100"/>
  <c r="B81" i="100"/>
  <c r="E81" i="100"/>
  <c r="G81" i="100"/>
  <c r="A82" i="100"/>
  <c r="D81" i="88"/>
  <c r="C81" i="88"/>
  <c r="C77" i="103"/>
  <c r="D77" i="103"/>
  <c r="A80" i="102"/>
  <c r="E79" i="102"/>
  <c r="B79" i="102"/>
  <c r="G79" i="102"/>
  <c r="F79" i="102"/>
  <c r="E78" i="104"/>
  <c r="B78" i="104"/>
  <c r="F78" i="104"/>
  <c r="G78" i="104"/>
  <c r="A79" i="104"/>
  <c r="E83" i="97"/>
  <c r="B83" i="97"/>
  <c r="F83" i="97"/>
  <c r="G83" i="97"/>
  <c r="A84" i="97"/>
  <c r="D82" i="96"/>
  <c r="C82" i="96"/>
  <c r="D80" i="100"/>
  <c r="C80" i="100"/>
  <c r="C79" i="101"/>
  <c r="D79" i="101"/>
  <c r="E82" i="88"/>
  <c r="G82" i="88"/>
  <c r="A83" i="88"/>
  <c r="F82" i="88"/>
  <c r="B82" i="88"/>
  <c r="D77" i="104"/>
  <c r="C77" i="104"/>
  <c r="B80" i="101"/>
  <c r="G80" i="101"/>
  <c r="A81" i="101"/>
  <c r="E80" i="101"/>
  <c r="F80" i="101"/>
  <c r="D81" i="99"/>
  <c r="C81" i="99"/>
  <c r="B82" i="98"/>
  <c r="G82" i="98"/>
  <c r="E82" i="98"/>
  <c r="F82" i="98"/>
  <c r="A83" i="98"/>
  <c r="D82" i="97"/>
  <c r="C82" i="97"/>
  <c r="A79" i="103"/>
  <c r="G78" i="103"/>
  <c r="F78" i="103"/>
  <c r="E78" i="103"/>
  <c r="B78" i="103"/>
  <c r="B82" i="99"/>
  <c r="E82" i="99"/>
  <c r="F82" i="99"/>
  <c r="A83" i="99"/>
  <c r="G82" i="99"/>
  <c r="F83" i="96"/>
  <c r="B83" i="96"/>
  <c r="G83" i="96"/>
  <c r="A84" i="96"/>
  <c r="E83" i="96"/>
  <c r="D81" i="98"/>
  <c r="C81" i="98"/>
  <c r="B83" i="95"/>
  <c r="E83" i="95"/>
  <c r="F83" i="95"/>
  <c r="A84" i="95"/>
  <c r="G83" i="95"/>
  <c r="D82" i="88" l="1"/>
  <c r="C82" i="88"/>
  <c r="F79" i="104"/>
  <c r="E79" i="104"/>
  <c r="G79" i="104"/>
  <c r="B79" i="104"/>
  <c r="A80" i="104"/>
  <c r="A81" i="102"/>
  <c r="B80" i="102"/>
  <c r="F80" i="102"/>
  <c r="G80" i="102"/>
  <c r="E80" i="102"/>
  <c r="D81" i="100"/>
  <c r="C81" i="100"/>
  <c r="A80" i="103"/>
  <c r="G79" i="103"/>
  <c r="E79" i="103"/>
  <c r="B79" i="103"/>
  <c r="F79" i="103"/>
  <c r="G84" i="96"/>
  <c r="E84" i="96"/>
  <c r="F84" i="96"/>
  <c r="B84" i="96"/>
  <c r="A85" i="96"/>
  <c r="C82" i="99"/>
  <c r="D82" i="99"/>
  <c r="F83" i="98"/>
  <c r="A84" i="98"/>
  <c r="E83" i="98"/>
  <c r="G83" i="98"/>
  <c r="B83" i="98"/>
  <c r="A84" i="88"/>
  <c r="G83" i="88"/>
  <c r="F83" i="88"/>
  <c r="B83" i="88"/>
  <c r="E83" i="88"/>
  <c r="B81" i="101"/>
  <c r="F81" i="101"/>
  <c r="G81" i="101"/>
  <c r="E81" i="101"/>
  <c r="A82" i="101"/>
  <c r="F84" i="97"/>
  <c r="G84" i="97"/>
  <c r="E84" i="97"/>
  <c r="B84" i="97"/>
  <c r="A85" i="97"/>
  <c r="C78" i="104"/>
  <c r="D78" i="104"/>
  <c r="F83" i="99"/>
  <c r="E83" i="99"/>
  <c r="G83" i="99"/>
  <c r="A84" i="99"/>
  <c r="B83" i="99"/>
  <c r="C83" i="96"/>
  <c r="D83" i="96"/>
  <c r="B84" i="95"/>
  <c r="G84" i="95"/>
  <c r="F84" i="95"/>
  <c r="A85" i="95"/>
  <c r="E84" i="95"/>
  <c r="C78" i="103"/>
  <c r="D78" i="103"/>
  <c r="C80" i="101"/>
  <c r="D80" i="101"/>
  <c r="C79" i="102"/>
  <c r="D79" i="102"/>
  <c r="D83" i="95"/>
  <c r="C83" i="95"/>
  <c r="C82" i="98"/>
  <c r="D82" i="98"/>
  <c r="D83" i="97"/>
  <c r="C83" i="97"/>
  <c r="B82" i="100"/>
  <c r="F82" i="100"/>
  <c r="E82" i="100"/>
  <c r="G82" i="100"/>
  <c r="A83" i="100"/>
  <c r="D83" i="98" l="1"/>
  <c r="C83" i="98"/>
  <c r="D84" i="96"/>
  <c r="C84" i="96"/>
  <c r="A81" i="103"/>
  <c r="G80" i="103"/>
  <c r="B80" i="103"/>
  <c r="F80" i="103"/>
  <c r="E80" i="103"/>
  <c r="B80" i="104"/>
  <c r="F80" i="104"/>
  <c r="G80" i="104"/>
  <c r="A81" i="104"/>
  <c r="E80" i="104"/>
  <c r="A85" i="88"/>
  <c r="B84" i="88"/>
  <c r="G84" i="88"/>
  <c r="E84" i="88"/>
  <c r="F84" i="88"/>
  <c r="B85" i="97"/>
  <c r="A86" i="97"/>
  <c r="G85" i="97"/>
  <c r="F85" i="97"/>
  <c r="E85" i="97"/>
  <c r="D79" i="104"/>
  <c r="C79" i="104"/>
  <c r="C84" i="95"/>
  <c r="D84" i="95"/>
  <c r="B83" i="100"/>
  <c r="F83" i="100"/>
  <c r="A84" i="100"/>
  <c r="G83" i="100"/>
  <c r="E83" i="100"/>
  <c r="C83" i="99"/>
  <c r="D83" i="99"/>
  <c r="D84" i="97"/>
  <c r="C84" i="97"/>
  <c r="C81" i="101"/>
  <c r="D81" i="101"/>
  <c r="F81" i="102"/>
  <c r="E81" i="102"/>
  <c r="B81" i="102"/>
  <c r="G81" i="102"/>
  <c r="A82" i="102"/>
  <c r="A85" i="99"/>
  <c r="B84" i="99"/>
  <c r="F84" i="99"/>
  <c r="E84" i="99"/>
  <c r="G84" i="99"/>
  <c r="F84" i="98"/>
  <c r="E84" i="98"/>
  <c r="B84" i="98"/>
  <c r="A85" i="98"/>
  <c r="G84" i="98"/>
  <c r="G85" i="96"/>
  <c r="E85" i="96"/>
  <c r="B85" i="96"/>
  <c r="F85" i="96"/>
  <c r="A86" i="96"/>
  <c r="A86" i="95"/>
  <c r="F85" i="95"/>
  <c r="B85" i="95"/>
  <c r="G85" i="95"/>
  <c r="E85" i="95"/>
  <c r="D83" i="88"/>
  <c r="C83" i="88"/>
  <c r="D79" i="103"/>
  <c r="C79" i="103"/>
  <c r="D82" i="100"/>
  <c r="C82" i="100"/>
  <c r="B82" i="101"/>
  <c r="F82" i="101"/>
  <c r="A83" i="101"/>
  <c r="E82" i="101"/>
  <c r="G82" i="101"/>
  <c r="D80" i="102"/>
  <c r="C80" i="102"/>
  <c r="B84" i="100" l="1"/>
  <c r="F84" i="100"/>
  <c r="A85" i="100"/>
  <c r="E84" i="100"/>
  <c r="G84" i="100"/>
  <c r="E85" i="88"/>
  <c r="F85" i="88"/>
  <c r="A86" i="88"/>
  <c r="G85" i="88"/>
  <c r="B85" i="88"/>
  <c r="D80" i="103"/>
  <c r="C80" i="103"/>
  <c r="C82" i="101"/>
  <c r="D82" i="101"/>
  <c r="C85" i="95"/>
  <c r="D85" i="95"/>
  <c r="D84" i="99"/>
  <c r="C84" i="99"/>
  <c r="C84" i="88"/>
  <c r="D84" i="88"/>
  <c r="D83" i="100"/>
  <c r="C83" i="100"/>
  <c r="G86" i="97"/>
  <c r="A87" i="97"/>
  <c r="B86" i="97"/>
  <c r="E86" i="97"/>
  <c r="F86" i="97"/>
  <c r="G81" i="104"/>
  <c r="A82" i="104"/>
  <c r="E81" i="104"/>
  <c r="F81" i="104"/>
  <c r="B81" i="104"/>
  <c r="F81" i="103"/>
  <c r="E81" i="103"/>
  <c r="B81" i="103"/>
  <c r="A82" i="103"/>
  <c r="G81" i="103"/>
  <c r="B85" i="99"/>
  <c r="F85" i="99"/>
  <c r="E85" i="99"/>
  <c r="A86" i="99"/>
  <c r="G85" i="99"/>
  <c r="A87" i="95"/>
  <c r="G86" i="95"/>
  <c r="B86" i="95"/>
  <c r="E86" i="95"/>
  <c r="F86" i="95"/>
  <c r="C84" i="98"/>
  <c r="D84" i="98"/>
  <c r="E82" i="102"/>
  <c r="A83" i="102"/>
  <c r="B82" i="102"/>
  <c r="G82" i="102"/>
  <c r="F82" i="102"/>
  <c r="D85" i="97"/>
  <c r="C85" i="97"/>
  <c r="G86" i="96"/>
  <c r="F86" i="96"/>
  <c r="A87" i="96"/>
  <c r="B86" i="96"/>
  <c r="E86" i="96"/>
  <c r="B85" i="98"/>
  <c r="F85" i="98"/>
  <c r="A86" i="98"/>
  <c r="E85" i="98"/>
  <c r="G85" i="98"/>
  <c r="C81" i="102"/>
  <c r="D81" i="102"/>
  <c r="C80" i="104"/>
  <c r="D80" i="104"/>
  <c r="F83" i="101"/>
  <c r="A84" i="101"/>
  <c r="E83" i="101"/>
  <c r="G83" i="101"/>
  <c r="B83" i="101"/>
  <c r="C85" i="96"/>
  <c r="D85" i="96"/>
  <c r="F86" i="88" l="1"/>
  <c r="G86" i="88"/>
  <c r="A87" i="88"/>
  <c r="B86" i="88"/>
  <c r="E86" i="88"/>
  <c r="B86" i="98"/>
  <c r="F86" i="98"/>
  <c r="G86" i="98"/>
  <c r="E86" i="98"/>
  <c r="A87" i="98"/>
  <c r="C85" i="98"/>
  <c r="D85" i="98"/>
  <c r="D85" i="99"/>
  <c r="C85" i="99"/>
  <c r="G87" i="97"/>
  <c r="E87" i="97"/>
  <c r="A88" i="97"/>
  <c r="B87" i="97"/>
  <c r="F87" i="97"/>
  <c r="D86" i="95"/>
  <c r="C86" i="95"/>
  <c r="F82" i="104"/>
  <c r="E82" i="104"/>
  <c r="A83" i="104"/>
  <c r="G82" i="104"/>
  <c r="B82" i="104"/>
  <c r="D86" i="96"/>
  <c r="C86" i="96"/>
  <c r="D82" i="102"/>
  <c r="C82" i="102"/>
  <c r="B82" i="103"/>
  <c r="A83" i="103"/>
  <c r="G82" i="103"/>
  <c r="E82" i="103"/>
  <c r="F82" i="103"/>
  <c r="D81" i="104"/>
  <c r="C81" i="104"/>
  <c r="B83" i="102"/>
  <c r="G83" i="102"/>
  <c r="F83" i="102"/>
  <c r="A84" i="102"/>
  <c r="E83" i="102"/>
  <c r="G87" i="95"/>
  <c r="B87" i="95"/>
  <c r="A88" i="95"/>
  <c r="F87" i="95"/>
  <c r="E87" i="95"/>
  <c r="C81" i="103"/>
  <c r="D81" i="103"/>
  <c r="F85" i="100"/>
  <c r="A86" i="100"/>
  <c r="B85" i="100"/>
  <c r="E85" i="100"/>
  <c r="G85" i="100"/>
  <c r="F87" i="96"/>
  <c r="G87" i="96"/>
  <c r="A88" i="96"/>
  <c r="B87" i="96"/>
  <c r="E87" i="96"/>
  <c r="D85" i="88"/>
  <c r="C85" i="88"/>
  <c r="B84" i="101"/>
  <c r="A85" i="101"/>
  <c r="F84" i="101"/>
  <c r="G84" i="101"/>
  <c r="E84" i="101"/>
  <c r="D83" i="101"/>
  <c r="C83" i="101"/>
  <c r="F86" i="99"/>
  <c r="B86" i="99"/>
  <c r="E86" i="99"/>
  <c r="A87" i="99"/>
  <c r="G86" i="99"/>
  <c r="D86" i="97"/>
  <c r="C86" i="97"/>
  <c r="D84" i="100"/>
  <c r="C84" i="100"/>
  <c r="A84" i="104" l="1"/>
  <c r="G83" i="104"/>
  <c r="E83" i="104"/>
  <c r="B83" i="104"/>
  <c r="F83" i="104"/>
  <c r="F85" i="101"/>
  <c r="E85" i="101"/>
  <c r="B85" i="101"/>
  <c r="A86" i="101"/>
  <c r="G85" i="101"/>
  <c r="D82" i="103"/>
  <c r="C82" i="103"/>
  <c r="C86" i="99"/>
  <c r="D86" i="99"/>
  <c r="C84" i="101"/>
  <c r="D84" i="101"/>
  <c r="D83" i="102"/>
  <c r="C83" i="102"/>
  <c r="D86" i="98"/>
  <c r="C86" i="98"/>
  <c r="A84" i="103"/>
  <c r="G83" i="103"/>
  <c r="B83" i="103"/>
  <c r="E83" i="103"/>
  <c r="F83" i="103"/>
  <c r="E88" i="95"/>
  <c r="A89" i="95"/>
  <c r="G88" i="95"/>
  <c r="F88" i="95"/>
  <c r="B88" i="95"/>
  <c r="C85" i="100"/>
  <c r="D85" i="100"/>
  <c r="C87" i="95"/>
  <c r="D87" i="95"/>
  <c r="D86" i="88"/>
  <c r="C86" i="88"/>
  <c r="G87" i="99"/>
  <c r="B87" i="99"/>
  <c r="F87" i="99"/>
  <c r="A88" i="99"/>
  <c r="E87" i="99"/>
  <c r="E86" i="100"/>
  <c r="F86" i="100"/>
  <c r="A87" i="100"/>
  <c r="B86" i="100"/>
  <c r="G86" i="100"/>
  <c r="F87" i="88"/>
  <c r="A88" i="88"/>
  <c r="B87" i="88"/>
  <c r="G87" i="88"/>
  <c r="E87" i="88"/>
  <c r="D87" i="96"/>
  <c r="C87" i="96"/>
  <c r="C82" i="104"/>
  <c r="D82" i="104"/>
  <c r="C87" i="97"/>
  <c r="D87" i="97"/>
  <c r="B87" i="98"/>
  <c r="E87" i="98"/>
  <c r="F87" i="98"/>
  <c r="A88" i="98"/>
  <c r="G87" i="98"/>
  <c r="B88" i="96"/>
  <c r="G88" i="96"/>
  <c r="E88" i="96"/>
  <c r="F88" i="96"/>
  <c r="A89" i="96"/>
  <c r="A85" i="102"/>
  <c r="G84" i="102"/>
  <c r="F84" i="102"/>
  <c r="B84" i="102"/>
  <c r="E84" i="102"/>
  <c r="F88" i="97"/>
  <c r="E88" i="97"/>
  <c r="A89" i="97"/>
  <c r="G88" i="97"/>
  <c r="B88" i="97"/>
  <c r="C88" i="96" l="1"/>
  <c r="D88" i="96"/>
  <c r="C83" i="103"/>
  <c r="D83" i="103"/>
  <c r="D85" i="101"/>
  <c r="C85" i="101"/>
  <c r="D84" i="102"/>
  <c r="C84" i="102"/>
  <c r="D87" i="99"/>
  <c r="C87" i="99"/>
  <c r="D88" i="95"/>
  <c r="C88" i="95"/>
  <c r="A89" i="98"/>
  <c r="B88" i="98"/>
  <c r="G88" i="98"/>
  <c r="F88" i="98"/>
  <c r="E88" i="98"/>
  <c r="D86" i="100"/>
  <c r="C86" i="100"/>
  <c r="B84" i="103"/>
  <c r="F84" i="103"/>
  <c r="G84" i="103"/>
  <c r="E84" i="103"/>
  <c r="A85" i="103"/>
  <c r="G85" i="102"/>
  <c r="B85" i="102"/>
  <c r="A86" i="102"/>
  <c r="F85" i="102"/>
  <c r="E85" i="102"/>
  <c r="B87" i="100"/>
  <c r="A88" i="100"/>
  <c r="F87" i="100"/>
  <c r="E87" i="100"/>
  <c r="G87" i="100"/>
  <c r="D83" i="104"/>
  <c r="C83" i="104"/>
  <c r="A90" i="97"/>
  <c r="B89" i="97"/>
  <c r="F89" i="97"/>
  <c r="G89" i="97"/>
  <c r="E89" i="97"/>
  <c r="B89" i="95"/>
  <c r="E89" i="95"/>
  <c r="A90" i="95"/>
  <c r="G89" i="95"/>
  <c r="F89" i="95"/>
  <c r="A89" i="99"/>
  <c r="F88" i="99"/>
  <c r="G88" i="99"/>
  <c r="E88" i="99"/>
  <c r="B88" i="99"/>
  <c r="G89" i="96"/>
  <c r="E89" i="96"/>
  <c r="F89" i="96"/>
  <c r="B89" i="96"/>
  <c r="A90" i="96"/>
  <c r="D87" i="98"/>
  <c r="C87" i="98"/>
  <c r="E88" i="88"/>
  <c r="F88" i="88"/>
  <c r="B88" i="88"/>
  <c r="G88" i="88"/>
  <c r="A89" i="88"/>
  <c r="D88" i="97"/>
  <c r="C88" i="97"/>
  <c r="D87" i="88"/>
  <c r="C87" i="88"/>
  <c r="A87" i="101"/>
  <c r="G86" i="101"/>
  <c r="B86" i="101"/>
  <c r="F86" i="101"/>
  <c r="E86" i="101"/>
  <c r="F84" i="104"/>
  <c r="B84" i="104"/>
  <c r="E84" i="104"/>
  <c r="G84" i="104"/>
  <c r="A85" i="104"/>
  <c r="G85" i="103" l="1"/>
  <c r="B85" i="103"/>
  <c r="A86" i="103"/>
  <c r="F85" i="103"/>
  <c r="E85" i="103"/>
  <c r="C89" i="96"/>
  <c r="D89" i="96"/>
  <c r="F89" i="99"/>
  <c r="A90" i="99"/>
  <c r="G89" i="99"/>
  <c r="E89" i="99"/>
  <c r="B89" i="99"/>
  <c r="E88" i="100"/>
  <c r="A89" i="100"/>
  <c r="F88" i="100"/>
  <c r="G88" i="100"/>
  <c r="B88" i="100"/>
  <c r="C89" i="97"/>
  <c r="D89" i="97"/>
  <c r="C87" i="100"/>
  <c r="D87" i="100"/>
  <c r="C88" i="98"/>
  <c r="D88" i="98"/>
  <c r="E90" i="96"/>
  <c r="F90" i="96"/>
  <c r="A91" i="96"/>
  <c r="G90" i="96"/>
  <c r="B90" i="96"/>
  <c r="G85" i="104"/>
  <c r="F85" i="104"/>
  <c r="A86" i="104"/>
  <c r="B85" i="104"/>
  <c r="E85" i="104"/>
  <c r="D88" i="88"/>
  <c r="C88" i="88"/>
  <c r="G90" i="97"/>
  <c r="B90" i="97"/>
  <c r="F90" i="97"/>
  <c r="A91" i="97"/>
  <c r="E90" i="97"/>
  <c r="A90" i="98"/>
  <c r="G89" i="98"/>
  <c r="B89" i="98"/>
  <c r="F89" i="98"/>
  <c r="E89" i="98"/>
  <c r="A91" i="95"/>
  <c r="B90" i="95"/>
  <c r="G90" i="95"/>
  <c r="E90" i="95"/>
  <c r="F90" i="95"/>
  <c r="C84" i="103"/>
  <c r="D84" i="103"/>
  <c r="C86" i="101"/>
  <c r="D86" i="101"/>
  <c r="C88" i="99"/>
  <c r="D88" i="99"/>
  <c r="F86" i="102"/>
  <c r="A87" i="102"/>
  <c r="B86" i="102"/>
  <c r="E86" i="102"/>
  <c r="G86" i="102"/>
  <c r="B89" i="88"/>
  <c r="E89" i="88"/>
  <c r="G89" i="88"/>
  <c r="A90" i="88"/>
  <c r="F89" i="88"/>
  <c r="D84" i="104"/>
  <c r="C84" i="104"/>
  <c r="C89" i="95"/>
  <c r="D89" i="95"/>
  <c r="C85" i="102"/>
  <c r="D85" i="102"/>
  <c r="E87" i="101"/>
  <c r="G87" i="101"/>
  <c r="F87" i="101"/>
  <c r="B87" i="101"/>
  <c r="A88" i="101"/>
  <c r="D90" i="95" l="1"/>
  <c r="C90" i="95"/>
  <c r="F91" i="97"/>
  <c r="B91" i="97"/>
  <c r="E91" i="97"/>
  <c r="G91" i="97"/>
  <c r="A92" i="97"/>
  <c r="F86" i="104"/>
  <c r="A87" i="104"/>
  <c r="E86" i="104"/>
  <c r="B86" i="104"/>
  <c r="G86" i="104"/>
  <c r="C89" i="88"/>
  <c r="D89" i="88"/>
  <c r="B91" i="95"/>
  <c r="E91" i="95"/>
  <c r="G91" i="95"/>
  <c r="A92" i="95"/>
  <c r="F91" i="95"/>
  <c r="A90" i="100"/>
  <c r="G89" i="100"/>
  <c r="E89" i="100"/>
  <c r="F89" i="100"/>
  <c r="B89" i="100"/>
  <c r="D90" i="97"/>
  <c r="C90" i="97"/>
  <c r="E88" i="101"/>
  <c r="F88" i="101"/>
  <c r="G88" i="101"/>
  <c r="A89" i="101"/>
  <c r="B88" i="101"/>
  <c r="C87" i="101"/>
  <c r="D87" i="101"/>
  <c r="C90" i="96"/>
  <c r="D90" i="96"/>
  <c r="C89" i="99"/>
  <c r="D89" i="99"/>
  <c r="D85" i="104"/>
  <c r="C85" i="104"/>
  <c r="D86" i="102"/>
  <c r="C86" i="102"/>
  <c r="D89" i="98"/>
  <c r="C89" i="98"/>
  <c r="A87" i="103"/>
  <c r="B86" i="103"/>
  <c r="F86" i="103"/>
  <c r="G86" i="103"/>
  <c r="E86" i="103"/>
  <c r="E87" i="102"/>
  <c r="G87" i="102"/>
  <c r="A88" i="102"/>
  <c r="B87" i="102"/>
  <c r="F87" i="102"/>
  <c r="A92" i="96"/>
  <c r="G91" i="96"/>
  <c r="F91" i="96"/>
  <c r="B91" i="96"/>
  <c r="E91" i="96"/>
  <c r="D85" i="103"/>
  <c r="C85" i="103"/>
  <c r="B90" i="88"/>
  <c r="A91" i="88"/>
  <c r="F90" i="88"/>
  <c r="G90" i="88"/>
  <c r="E90" i="88"/>
  <c r="E90" i="98"/>
  <c r="F90" i="98"/>
  <c r="A91" i="98"/>
  <c r="G90" i="98"/>
  <c r="B90" i="98"/>
  <c r="C88" i="100"/>
  <c r="D88" i="100"/>
  <c r="F90" i="99"/>
  <c r="A91" i="99"/>
  <c r="E90" i="99"/>
  <c r="G90" i="99"/>
  <c r="B90" i="99"/>
  <c r="C88" i="101" l="1"/>
  <c r="D88" i="101"/>
  <c r="C91" i="95"/>
  <c r="D91" i="95"/>
  <c r="E92" i="97"/>
  <c r="G92" i="97"/>
  <c r="F92" i="97"/>
  <c r="A93" i="97"/>
  <c r="B92" i="97"/>
  <c r="C90" i="98"/>
  <c r="D90" i="98"/>
  <c r="B92" i="96"/>
  <c r="G92" i="96"/>
  <c r="A93" i="96"/>
  <c r="E92" i="96"/>
  <c r="F92" i="96"/>
  <c r="F89" i="101"/>
  <c r="A90" i="101"/>
  <c r="E89" i="101"/>
  <c r="G89" i="101"/>
  <c r="B89" i="101"/>
  <c r="B91" i="88"/>
  <c r="F91" i="88"/>
  <c r="G91" i="88"/>
  <c r="A92" i="88"/>
  <c r="E91" i="88"/>
  <c r="D90" i="99"/>
  <c r="C90" i="99"/>
  <c r="C90" i="88"/>
  <c r="D90" i="88"/>
  <c r="C86" i="103"/>
  <c r="D86" i="103"/>
  <c r="C87" i="102"/>
  <c r="D87" i="102"/>
  <c r="B87" i="103"/>
  <c r="E87" i="103"/>
  <c r="G87" i="103"/>
  <c r="F87" i="103"/>
  <c r="A88" i="103"/>
  <c r="E90" i="100"/>
  <c r="F90" i="100"/>
  <c r="G90" i="100"/>
  <c r="B90" i="100"/>
  <c r="A91" i="100"/>
  <c r="C91" i="97"/>
  <c r="D91" i="97"/>
  <c r="E91" i="98"/>
  <c r="B91" i="98"/>
  <c r="A92" i="98"/>
  <c r="F91" i="98"/>
  <c r="G91" i="98"/>
  <c r="E88" i="102"/>
  <c r="G88" i="102"/>
  <c r="A89" i="102"/>
  <c r="B88" i="102"/>
  <c r="F88" i="102"/>
  <c r="C86" i="104"/>
  <c r="D86" i="104"/>
  <c r="B91" i="99"/>
  <c r="E91" i="99"/>
  <c r="A92" i="99"/>
  <c r="F91" i="99"/>
  <c r="G91" i="99"/>
  <c r="E92" i="95"/>
  <c r="F92" i="95"/>
  <c r="G92" i="95"/>
  <c r="B92" i="95"/>
  <c r="A93" i="95"/>
  <c r="C89" i="100"/>
  <c r="D89" i="100"/>
  <c r="D91" i="96"/>
  <c r="C91" i="96"/>
  <c r="F87" i="104"/>
  <c r="A88" i="104"/>
  <c r="B87" i="104"/>
  <c r="E87" i="104"/>
  <c r="G87" i="104"/>
  <c r="A94" i="97" l="1"/>
  <c r="G93" i="97"/>
  <c r="B93" i="97"/>
  <c r="E93" i="97"/>
  <c r="F93" i="97"/>
  <c r="D88" i="102"/>
  <c r="C88" i="102"/>
  <c r="A89" i="103"/>
  <c r="F88" i="103"/>
  <c r="E88" i="103"/>
  <c r="G88" i="103"/>
  <c r="B88" i="103"/>
  <c r="A90" i="102"/>
  <c r="F89" i="102"/>
  <c r="E89" i="102"/>
  <c r="G89" i="102"/>
  <c r="B89" i="102"/>
  <c r="D91" i="88"/>
  <c r="C91" i="88"/>
  <c r="F93" i="96"/>
  <c r="A94" i="96"/>
  <c r="B93" i="96"/>
  <c r="G93" i="96"/>
  <c r="E93" i="96"/>
  <c r="F92" i="99"/>
  <c r="E92" i="99"/>
  <c r="G92" i="99"/>
  <c r="B92" i="99"/>
  <c r="A93" i="99"/>
  <c r="D89" i="101"/>
  <c r="C89" i="101"/>
  <c r="C91" i="98"/>
  <c r="D91" i="98"/>
  <c r="B91" i="100"/>
  <c r="A92" i="100"/>
  <c r="E91" i="100"/>
  <c r="G91" i="100"/>
  <c r="F91" i="100"/>
  <c r="D92" i="96"/>
  <c r="C92" i="96"/>
  <c r="B93" i="95"/>
  <c r="F93" i="95"/>
  <c r="E93" i="95"/>
  <c r="A94" i="95"/>
  <c r="G93" i="95"/>
  <c r="D87" i="104"/>
  <c r="C87" i="104"/>
  <c r="C92" i="95"/>
  <c r="D92" i="95"/>
  <c r="C91" i="99"/>
  <c r="D91" i="99"/>
  <c r="C90" i="100"/>
  <c r="D90" i="100"/>
  <c r="C87" i="103"/>
  <c r="D87" i="103"/>
  <c r="A89" i="104"/>
  <c r="E88" i="104"/>
  <c r="F88" i="104"/>
  <c r="G88" i="104"/>
  <c r="B88" i="104"/>
  <c r="A91" i="101"/>
  <c r="G90" i="101"/>
  <c r="E90" i="101"/>
  <c r="F90" i="101"/>
  <c r="B90" i="101"/>
  <c r="B92" i="98"/>
  <c r="F92" i="98"/>
  <c r="A93" i="98"/>
  <c r="G92" i="98"/>
  <c r="E92" i="98"/>
  <c r="E92" i="88"/>
  <c r="A93" i="88"/>
  <c r="G92" i="88"/>
  <c r="F92" i="88"/>
  <c r="B92" i="88"/>
  <c r="C92" i="97"/>
  <c r="D92" i="97"/>
  <c r="B93" i="88" l="1"/>
  <c r="A94" i="88"/>
  <c r="G93" i="88"/>
  <c r="F93" i="88"/>
  <c r="E93" i="88"/>
  <c r="G89" i="103"/>
  <c r="A90" i="103"/>
  <c r="F89" i="103"/>
  <c r="E89" i="103"/>
  <c r="B89" i="103"/>
  <c r="D93" i="96"/>
  <c r="C93" i="96"/>
  <c r="B91" i="101"/>
  <c r="F91" i="101"/>
  <c r="A92" i="101"/>
  <c r="G91" i="101"/>
  <c r="E91" i="101"/>
  <c r="F93" i="99"/>
  <c r="E93" i="99"/>
  <c r="B93" i="99"/>
  <c r="A94" i="99"/>
  <c r="G93" i="99"/>
  <c r="F94" i="96"/>
  <c r="B94" i="96"/>
  <c r="G94" i="96"/>
  <c r="A95" i="96"/>
  <c r="E94" i="96"/>
  <c r="F90" i="102"/>
  <c r="A91" i="102"/>
  <c r="E90" i="102"/>
  <c r="B90" i="102"/>
  <c r="G90" i="102"/>
  <c r="E93" i="98"/>
  <c r="G93" i="98"/>
  <c r="F93" i="98"/>
  <c r="B93" i="98"/>
  <c r="A94" i="98"/>
  <c r="C88" i="104"/>
  <c r="D88" i="104"/>
  <c r="B94" i="95"/>
  <c r="G94" i="95"/>
  <c r="E94" i="95"/>
  <c r="F94" i="95"/>
  <c r="A95" i="95"/>
  <c r="D92" i="99"/>
  <c r="C92" i="99"/>
  <c r="D88" i="103"/>
  <c r="C88" i="103"/>
  <c r="B89" i="104"/>
  <c r="E89" i="104"/>
  <c r="A90" i="104"/>
  <c r="F89" i="104"/>
  <c r="G89" i="104"/>
  <c r="D92" i="88"/>
  <c r="C92" i="88"/>
  <c r="B92" i="100"/>
  <c r="G92" i="100"/>
  <c r="A93" i="100"/>
  <c r="F92" i="100"/>
  <c r="E92" i="100"/>
  <c r="C93" i="97"/>
  <c r="D93" i="97"/>
  <c r="C92" i="98"/>
  <c r="D92" i="98"/>
  <c r="D91" i="100"/>
  <c r="C91" i="100"/>
  <c r="D90" i="101"/>
  <c r="C90" i="101"/>
  <c r="D93" i="95"/>
  <c r="C93" i="95"/>
  <c r="D89" i="102"/>
  <c r="C89" i="102"/>
  <c r="G94" i="97"/>
  <c r="E94" i="97"/>
  <c r="A95" i="97"/>
  <c r="F94" i="97"/>
  <c r="B94" i="97"/>
  <c r="D90" i="102" l="1"/>
  <c r="C90" i="102"/>
  <c r="G92" i="101"/>
  <c r="E92" i="101"/>
  <c r="F92" i="101"/>
  <c r="A93" i="101"/>
  <c r="B92" i="101"/>
  <c r="G90" i="103"/>
  <c r="F90" i="103"/>
  <c r="A91" i="103"/>
  <c r="E90" i="103"/>
  <c r="B90" i="103"/>
  <c r="C94" i="96"/>
  <c r="D94" i="96"/>
  <c r="D94" i="97"/>
  <c r="C94" i="97"/>
  <c r="B94" i="98"/>
  <c r="A95" i="98"/>
  <c r="E94" i="98"/>
  <c r="G94" i="98"/>
  <c r="F94" i="98"/>
  <c r="G91" i="102"/>
  <c r="E91" i="102"/>
  <c r="B91" i="102"/>
  <c r="A92" i="102"/>
  <c r="F91" i="102"/>
  <c r="B94" i="99"/>
  <c r="F94" i="99"/>
  <c r="A95" i="99"/>
  <c r="E94" i="99"/>
  <c r="G94" i="99"/>
  <c r="C91" i="101"/>
  <c r="D91" i="101"/>
  <c r="C94" i="95"/>
  <c r="D94" i="95"/>
  <c r="F95" i="95"/>
  <c r="G95" i="95"/>
  <c r="B95" i="95"/>
  <c r="A96" i="95"/>
  <c r="E95" i="95"/>
  <c r="C93" i="98"/>
  <c r="D93" i="98"/>
  <c r="D93" i="99"/>
  <c r="C93" i="99"/>
  <c r="D92" i="100"/>
  <c r="C92" i="100"/>
  <c r="E95" i="97"/>
  <c r="F95" i="97"/>
  <c r="A96" i="97"/>
  <c r="B95" i="97"/>
  <c r="G95" i="97"/>
  <c r="E90" i="104"/>
  <c r="B90" i="104"/>
  <c r="A91" i="104"/>
  <c r="F90" i="104"/>
  <c r="G90" i="104"/>
  <c r="B95" i="96"/>
  <c r="A96" i="96"/>
  <c r="G95" i="96"/>
  <c r="F95" i="96"/>
  <c r="E95" i="96"/>
  <c r="C89" i="103"/>
  <c r="D89" i="103"/>
  <c r="B94" i="88"/>
  <c r="E94" i="88"/>
  <c r="A95" i="88"/>
  <c r="F94" i="88"/>
  <c r="G94" i="88"/>
  <c r="F93" i="100"/>
  <c r="A94" i="100"/>
  <c r="B93" i="100"/>
  <c r="E93" i="100"/>
  <c r="G93" i="100"/>
  <c r="C89" i="104"/>
  <c r="D89" i="104"/>
  <c r="D93" i="88"/>
  <c r="C93" i="88"/>
  <c r="C91" i="102" l="1"/>
  <c r="D91" i="102"/>
  <c r="D93" i="100"/>
  <c r="C93" i="100"/>
  <c r="B96" i="95"/>
  <c r="F96" i="95"/>
  <c r="G96" i="95"/>
  <c r="E96" i="95"/>
  <c r="A97" i="95"/>
  <c r="D92" i="101"/>
  <c r="C92" i="101"/>
  <c r="D94" i="88"/>
  <c r="C94" i="88"/>
  <c r="A95" i="100"/>
  <c r="F94" i="100"/>
  <c r="G94" i="100"/>
  <c r="E94" i="100"/>
  <c r="B94" i="100"/>
  <c r="B91" i="104"/>
  <c r="A92" i="104"/>
  <c r="F91" i="104"/>
  <c r="E91" i="104"/>
  <c r="G91" i="104"/>
  <c r="D95" i="95"/>
  <c r="C95" i="95"/>
  <c r="G93" i="101"/>
  <c r="B93" i="101"/>
  <c r="E93" i="101"/>
  <c r="A94" i="101"/>
  <c r="F93" i="101"/>
  <c r="C90" i="104"/>
  <c r="D90" i="104"/>
  <c r="A96" i="99"/>
  <c r="E95" i="99"/>
  <c r="F95" i="99"/>
  <c r="B95" i="99"/>
  <c r="G95" i="99"/>
  <c r="C90" i="103"/>
  <c r="D90" i="103"/>
  <c r="D94" i="99"/>
  <c r="C94" i="99"/>
  <c r="A96" i="88"/>
  <c r="G95" i="88"/>
  <c r="B95" i="88"/>
  <c r="F95" i="88"/>
  <c r="E95" i="88"/>
  <c r="F96" i="96"/>
  <c r="A97" i="96"/>
  <c r="E96" i="96"/>
  <c r="G96" i="96"/>
  <c r="B96" i="96"/>
  <c r="D95" i="97"/>
  <c r="C95" i="97"/>
  <c r="A96" i="98"/>
  <c r="F95" i="98"/>
  <c r="G95" i="98"/>
  <c r="B95" i="98"/>
  <c r="E95" i="98"/>
  <c r="F91" i="103"/>
  <c r="A92" i="103"/>
  <c r="G91" i="103"/>
  <c r="E91" i="103"/>
  <c r="B91" i="103"/>
  <c r="D95" i="96"/>
  <c r="C95" i="96"/>
  <c r="A97" i="97"/>
  <c r="F96" i="97"/>
  <c r="B96" i="97"/>
  <c r="E96" i="97"/>
  <c r="G96" i="97"/>
  <c r="F92" i="102"/>
  <c r="B92" i="102"/>
  <c r="G92" i="102"/>
  <c r="A93" i="102"/>
  <c r="E92" i="102"/>
  <c r="D94" i="98"/>
  <c r="C94" i="98"/>
  <c r="C91" i="103" l="1"/>
  <c r="D91" i="103"/>
  <c r="E96" i="98"/>
  <c r="F96" i="98"/>
  <c r="B96" i="98"/>
  <c r="G96" i="98"/>
  <c r="A97" i="98"/>
  <c r="F95" i="100"/>
  <c r="B95" i="100"/>
  <c r="G95" i="100"/>
  <c r="E95" i="100"/>
  <c r="A96" i="100"/>
  <c r="E94" i="101"/>
  <c r="G94" i="101"/>
  <c r="F94" i="101"/>
  <c r="A95" i="101"/>
  <c r="B94" i="101"/>
  <c r="C96" i="95"/>
  <c r="D96" i="95"/>
  <c r="A98" i="96"/>
  <c r="G97" i="96"/>
  <c r="E97" i="96"/>
  <c r="F97" i="96"/>
  <c r="B97" i="96"/>
  <c r="A93" i="103"/>
  <c r="G92" i="103"/>
  <c r="F92" i="103"/>
  <c r="B92" i="103"/>
  <c r="E92" i="103"/>
  <c r="C95" i="88"/>
  <c r="D95" i="88"/>
  <c r="D95" i="99"/>
  <c r="C95" i="99"/>
  <c r="E92" i="104"/>
  <c r="B92" i="104"/>
  <c r="A93" i="104"/>
  <c r="F92" i="104"/>
  <c r="G92" i="104"/>
  <c r="D92" i="102"/>
  <c r="C92" i="102"/>
  <c r="D96" i="97"/>
  <c r="C96" i="97"/>
  <c r="C96" i="96"/>
  <c r="D96" i="96"/>
  <c r="C93" i="101"/>
  <c r="D93" i="101"/>
  <c r="D91" i="104"/>
  <c r="C91" i="104"/>
  <c r="A98" i="97"/>
  <c r="F97" i="97"/>
  <c r="B97" i="97"/>
  <c r="G97" i="97"/>
  <c r="E97" i="97"/>
  <c r="B96" i="88"/>
  <c r="G96" i="88"/>
  <c r="E96" i="88"/>
  <c r="A97" i="88"/>
  <c r="F96" i="88"/>
  <c r="D94" i="100"/>
  <c r="C94" i="100"/>
  <c r="E93" i="102"/>
  <c r="A94" i="102"/>
  <c r="B93" i="102"/>
  <c r="G93" i="102"/>
  <c r="F93" i="102"/>
  <c r="C95" i="98"/>
  <c r="D95" i="98"/>
  <c r="A97" i="99"/>
  <c r="G96" i="99"/>
  <c r="E96" i="99"/>
  <c r="F96" i="99"/>
  <c r="B96" i="99"/>
  <c r="E97" i="95"/>
  <c r="G97" i="95"/>
  <c r="B97" i="95"/>
  <c r="A98" i="95"/>
  <c r="F97" i="95"/>
  <c r="D97" i="96" l="1"/>
  <c r="C97" i="96"/>
  <c r="C93" i="102"/>
  <c r="D93" i="102"/>
  <c r="F97" i="98"/>
  <c r="E97" i="98"/>
  <c r="A98" i="98"/>
  <c r="B97" i="98"/>
  <c r="G97" i="98"/>
  <c r="E94" i="102"/>
  <c r="G94" i="102"/>
  <c r="B94" i="102"/>
  <c r="A95" i="102"/>
  <c r="F94" i="102"/>
  <c r="D96" i="88"/>
  <c r="C96" i="88"/>
  <c r="C96" i="99"/>
  <c r="D96" i="99"/>
  <c r="D96" i="98"/>
  <c r="C96" i="98"/>
  <c r="E98" i="95"/>
  <c r="A99" i="95"/>
  <c r="G98" i="95"/>
  <c r="F98" i="95"/>
  <c r="B98" i="95"/>
  <c r="E93" i="104"/>
  <c r="G93" i="104"/>
  <c r="A94" i="104"/>
  <c r="B93" i="104"/>
  <c r="F93" i="104"/>
  <c r="D92" i="103"/>
  <c r="C92" i="103"/>
  <c r="A99" i="96"/>
  <c r="F98" i="96"/>
  <c r="G98" i="96"/>
  <c r="E98" i="96"/>
  <c r="B98" i="96"/>
  <c r="F96" i="100"/>
  <c r="G96" i="100"/>
  <c r="B96" i="100"/>
  <c r="A97" i="100"/>
  <c r="E96" i="100"/>
  <c r="A98" i="99"/>
  <c r="G97" i="99"/>
  <c r="F97" i="99"/>
  <c r="E97" i="99"/>
  <c r="B97" i="99"/>
  <c r="D97" i="95"/>
  <c r="C97" i="95"/>
  <c r="C97" i="97"/>
  <c r="D97" i="97"/>
  <c r="C92" i="104"/>
  <c r="D92" i="104"/>
  <c r="A96" i="101"/>
  <c r="B95" i="101"/>
  <c r="F95" i="101"/>
  <c r="E95" i="101"/>
  <c r="G95" i="101"/>
  <c r="A98" i="88"/>
  <c r="E97" i="88"/>
  <c r="F97" i="88"/>
  <c r="B97" i="88"/>
  <c r="G97" i="88"/>
  <c r="F98" i="97"/>
  <c r="A99" i="97"/>
  <c r="B98" i="97"/>
  <c r="E98" i="97"/>
  <c r="G98" i="97"/>
  <c r="G93" i="103"/>
  <c r="F93" i="103"/>
  <c r="A94" i="103"/>
  <c r="B93" i="103"/>
  <c r="E93" i="103"/>
  <c r="D94" i="101"/>
  <c r="C94" i="101"/>
  <c r="C95" i="100"/>
  <c r="D95" i="100"/>
  <c r="G94" i="103" l="1"/>
  <c r="A95" i="103"/>
  <c r="B94" i="103"/>
  <c r="E94" i="103"/>
  <c r="F94" i="103"/>
  <c r="D95" i="101"/>
  <c r="C95" i="101"/>
  <c r="C97" i="99"/>
  <c r="D97" i="99"/>
  <c r="G98" i="98"/>
  <c r="A99" i="98"/>
  <c r="E98" i="98"/>
  <c r="B98" i="98"/>
  <c r="F98" i="98"/>
  <c r="C97" i="98"/>
  <c r="D97" i="98"/>
  <c r="D97" i="88"/>
  <c r="C97" i="88"/>
  <c r="B96" i="101"/>
  <c r="A97" i="101"/>
  <c r="F96" i="101"/>
  <c r="G96" i="101"/>
  <c r="E96" i="101"/>
  <c r="G99" i="95"/>
  <c r="A100" i="95"/>
  <c r="B99" i="95"/>
  <c r="F99" i="95"/>
  <c r="E99" i="95"/>
  <c r="D93" i="103"/>
  <c r="C93" i="103"/>
  <c r="D98" i="96"/>
  <c r="C98" i="96"/>
  <c r="C93" i="104"/>
  <c r="D93" i="104"/>
  <c r="A96" i="102"/>
  <c r="B95" i="102"/>
  <c r="F95" i="102"/>
  <c r="G95" i="102"/>
  <c r="E95" i="102"/>
  <c r="A95" i="104"/>
  <c r="G94" i="104"/>
  <c r="F94" i="104"/>
  <c r="E94" i="104"/>
  <c r="B94" i="104"/>
  <c r="D94" i="102"/>
  <c r="C94" i="102"/>
  <c r="B98" i="88"/>
  <c r="E98" i="88"/>
  <c r="A99" i="88"/>
  <c r="F98" i="88"/>
  <c r="G98" i="88"/>
  <c r="A99" i="99"/>
  <c r="B98" i="99"/>
  <c r="G98" i="99"/>
  <c r="F98" i="99"/>
  <c r="E98" i="99"/>
  <c r="C98" i="97"/>
  <c r="D98" i="97"/>
  <c r="D96" i="100"/>
  <c r="C96" i="100"/>
  <c r="G99" i="97"/>
  <c r="E99" i="97"/>
  <c r="B99" i="97"/>
  <c r="A100" i="97"/>
  <c r="F99" i="97"/>
  <c r="A98" i="100"/>
  <c r="F97" i="100"/>
  <c r="E97" i="100"/>
  <c r="B97" i="100"/>
  <c r="G97" i="100"/>
  <c r="E99" i="96"/>
  <c r="B99" i="96"/>
  <c r="A100" i="96"/>
  <c r="F99" i="96"/>
  <c r="G99" i="96"/>
  <c r="D98" i="95"/>
  <c r="C98" i="95"/>
  <c r="G95" i="104" l="1"/>
  <c r="A96" i="104"/>
  <c r="B95" i="104"/>
  <c r="F95" i="104"/>
  <c r="E95" i="104"/>
  <c r="D99" i="97"/>
  <c r="C99" i="97"/>
  <c r="D98" i="88"/>
  <c r="C98" i="88"/>
  <c r="D97" i="100"/>
  <c r="C97" i="100"/>
  <c r="C98" i="99"/>
  <c r="D98" i="99"/>
  <c r="C98" i="98"/>
  <c r="D98" i="98"/>
  <c r="E99" i="99"/>
  <c r="B99" i="99"/>
  <c r="A100" i="99"/>
  <c r="F99" i="99"/>
  <c r="G99" i="99"/>
  <c r="D94" i="104"/>
  <c r="C94" i="104"/>
  <c r="C95" i="102"/>
  <c r="D95" i="102"/>
  <c r="E97" i="101"/>
  <c r="A98" i="101"/>
  <c r="B97" i="101"/>
  <c r="G97" i="101"/>
  <c r="F97" i="101"/>
  <c r="A101" i="97"/>
  <c r="G100" i="97"/>
  <c r="B100" i="97"/>
  <c r="F100" i="97"/>
  <c r="E100" i="97"/>
  <c r="F96" i="102"/>
  <c r="E96" i="102"/>
  <c r="A97" i="102"/>
  <c r="B96" i="102"/>
  <c r="G96" i="102"/>
  <c r="D96" i="101"/>
  <c r="C96" i="101"/>
  <c r="G99" i="98"/>
  <c r="A100" i="98"/>
  <c r="F99" i="98"/>
  <c r="E99" i="98"/>
  <c r="B99" i="98"/>
  <c r="C94" i="103"/>
  <c r="D94" i="103"/>
  <c r="C99" i="96"/>
  <c r="D99" i="96"/>
  <c r="E98" i="100"/>
  <c r="G98" i="100"/>
  <c r="A99" i="100"/>
  <c r="B98" i="100"/>
  <c r="F98" i="100"/>
  <c r="C99" i="95"/>
  <c r="D99" i="95"/>
  <c r="G95" i="103"/>
  <c r="A96" i="103"/>
  <c r="E95" i="103"/>
  <c r="B95" i="103"/>
  <c r="F95" i="103"/>
  <c r="E100" i="96"/>
  <c r="F100" i="96"/>
  <c r="G100" i="96"/>
  <c r="B100" i="96"/>
  <c r="A101" i="96"/>
  <c r="E99" i="88"/>
  <c r="G99" i="88"/>
  <c r="B99" i="88"/>
  <c r="A100" i="88"/>
  <c r="F99" i="88"/>
  <c r="B100" i="95"/>
  <c r="G100" i="95"/>
  <c r="A101" i="95"/>
  <c r="F100" i="95"/>
  <c r="E100" i="95"/>
  <c r="B100" i="88" l="1"/>
  <c r="F100" i="88"/>
  <c r="G100" i="88"/>
  <c r="E100" i="88"/>
  <c r="A101" i="88"/>
  <c r="C99" i="88"/>
  <c r="D99" i="88"/>
  <c r="C98" i="100"/>
  <c r="D98" i="100"/>
  <c r="D99" i="98"/>
  <c r="C99" i="98"/>
  <c r="C96" i="102"/>
  <c r="D96" i="102"/>
  <c r="E101" i="97"/>
  <c r="A102" i="97"/>
  <c r="B101" i="97"/>
  <c r="F101" i="97"/>
  <c r="G101" i="97"/>
  <c r="C100" i="97"/>
  <c r="D100" i="97"/>
  <c r="D95" i="103"/>
  <c r="C95" i="103"/>
  <c r="G99" i="100"/>
  <c r="E99" i="100"/>
  <c r="F99" i="100"/>
  <c r="B99" i="100"/>
  <c r="A100" i="100"/>
  <c r="G97" i="102"/>
  <c r="A98" i="102"/>
  <c r="E97" i="102"/>
  <c r="F97" i="102"/>
  <c r="B97" i="102"/>
  <c r="F101" i="95"/>
  <c r="B101" i="95"/>
  <c r="A102" i="95"/>
  <c r="E101" i="95"/>
  <c r="G101" i="95"/>
  <c r="A97" i="103"/>
  <c r="B96" i="103"/>
  <c r="E96" i="103"/>
  <c r="F96" i="103"/>
  <c r="G96" i="103"/>
  <c r="F100" i="98"/>
  <c r="A101" i="98"/>
  <c r="G100" i="98"/>
  <c r="B100" i="98"/>
  <c r="E100" i="98"/>
  <c r="C97" i="101"/>
  <c r="D97" i="101"/>
  <c r="D95" i="104"/>
  <c r="C95" i="104"/>
  <c r="F98" i="101"/>
  <c r="E98" i="101"/>
  <c r="B98" i="101"/>
  <c r="A99" i="101"/>
  <c r="G98" i="101"/>
  <c r="F100" i="99"/>
  <c r="E100" i="99"/>
  <c r="G100" i="99"/>
  <c r="A101" i="99"/>
  <c r="B100" i="99"/>
  <c r="F96" i="104"/>
  <c r="A97" i="104"/>
  <c r="B96" i="104"/>
  <c r="E96" i="104"/>
  <c r="G96" i="104"/>
  <c r="A102" i="96"/>
  <c r="B101" i="96"/>
  <c r="G101" i="96"/>
  <c r="E101" i="96"/>
  <c r="F101" i="96"/>
  <c r="D100" i="96"/>
  <c r="C100" i="96"/>
  <c r="D100" i="95"/>
  <c r="C100" i="95"/>
  <c r="C99" i="99"/>
  <c r="D99" i="99"/>
  <c r="A100" i="101" l="1"/>
  <c r="B99" i="101"/>
  <c r="F99" i="101"/>
  <c r="E99" i="101"/>
  <c r="G99" i="101"/>
  <c r="C96" i="103"/>
  <c r="D96" i="103"/>
  <c r="B102" i="97"/>
  <c r="A103" i="97"/>
  <c r="E102" i="97"/>
  <c r="F102" i="97"/>
  <c r="G102" i="97"/>
  <c r="D98" i="101"/>
  <c r="C98" i="101"/>
  <c r="D100" i="98"/>
  <c r="C100" i="98"/>
  <c r="A98" i="103"/>
  <c r="E97" i="103"/>
  <c r="B97" i="103"/>
  <c r="F97" i="103"/>
  <c r="G97" i="103"/>
  <c r="C96" i="104"/>
  <c r="D96" i="104"/>
  <c r="C101" i="97"/>
  <c r="D101" i="97"/>
  <c r="C100" i="99"/>
  <c r="D100" i="99"/>
  <c r="A99" i="102"/>
  <c r="B98" i="102"/>
  <c r="G98" i="102"/>
  <c r="E98" i="102"/>
  <c r="F98" i="102"/>
  <c r="G101" i="88"/>
  <c r="A102" i="88"/>
  <c r="B101" i="88"/>
  <c r="F101" i="88"/>
  <c r="E101" i="88"/>
  <c r="F101" i="99"/>
  <c r="A102" i="99"/>
  <c r="E101" i="99"/>
  <c r="B101" i="99"/>
  <c r="G101" i="99"/>
  <c r="G101" i="98"/>
  <c r="A102" i="98"/>
  <c r="E101" i="98"/>
  <c r="B101" i="98"/>
  <c r="F101" i="98"/>
  <c r="D97" i="102"/>
  <c r="C97" i="102"/>
  <c r="G102" i="96"/>
  <c r="B102" i="96"/>
  <c r="E102" i="96"/>
  <c r="F102" i="96"/>
  <c r="A103" i="96"/>
  <c r="G102" i="95"/>
  <c r="E102" i="95"/>
  <c r="B102" i="95"/>
  <c r="F102" i="95"/>
  <c r="A103" i="95"/>
  <c r="E100" i="100"/>
  <c r="A101" i="100"/>
  <c r="G100" i="100"/>
  <c r="B100" i="100"/>
  <c r="F100" i="100"/>
  <c r="A98" i="104"/>
  <c r="E97" i="104"/>
  <c r="B97" i="104"/>
  <c r="G97" i="104"/>
  <c r="F97" i="104"/>
  <c r="D101" i="95"/>
  <c r="C101" i="95"/>
  <c r="D99" i="100"/>
  <c r="C99" i="100"/>
  <c r="D101" i="96"/>
  <c r="C101" i="96"/>
  <c r="C100" i="88"/>
  <c r="D100" i="88"/>
  <c r="D102" i="97" l="1"/>
  <c r="C102" i="97"/>
  <c r="G102" i="99"/>
  <c r="A103" i="99"/>
  <c r="E102" i="99"/>
  <c r="F102" i="99"/>
  <c r="B102" i="99"/>
  <c r="D100" i="100"/>
  <c r="C100" i="100"/>
  <c r="F103" i="96"/>
  <c r="G103" i="96"/>
  <c r="B103" i="96"/>
  <c r="E103" i="96"/>
  <c r="A104" i="96"/>
  <c r="C101" i="98"/>
  <c r="D101" i="98"/>
  <c r="F101" i="100"/>
  <c r="G101" i="100"/>
  <c r="A102" i="100"/>
  <c r="E101" i="100"/>
  <c r="B101" i="100"/>
  <c r="C98" i="102"/>
  <c r="D98" i="102"/>
  <c r="G102" i="98"/>
  <c r="E102" i="98"/>
  <c r="B102" i="98"/>
  <c r="A103" i="98"/>
  <c r="F102" i="98"/>
  <c r="G99" i="102"/>
  <c r="B99" i="102"/>
  <c r="F99" i="102"/>
  <c r="E99" i="102"/>
  <c r="A100" i="102"/>
  <c r="D97" i="104"/>
  <c r="C97" i="104"/>
  <c r="A104" i="95"/>
  <c r="G103" i="95"/>
  <c r="E103" i="95"/>
  <c r="F103" i="95"/>
  <c r="B103" i="95"/>
  <c r="D102" i="96"/>
  <c r="C102" i="96"/>
  <c r="D101" i="88"/>
  <c r="C101" i="88"/>
  <c r="C97" i="103"/>
  <c r="D97" i="103"/>
  <c r="G102" i="88"/>
  <c r="F102" i="88"/>
  <c r="E102" i="88"/>
  <c r="A103" i="88"/>
  <c r="B102" i="88"/>
  <c r="C99" i="101"/>
  <c r="D99" i="101"/>
  <c r="F98" i="104"/>
  <c r="E98" i="104"/>
  <c r="G98" i="104"/>
  <c r="A99" i="104"/>
  <c r="B98" i="104"/>
  <c r="D102" i="95"/>
  <c r="C102" i="95"/>
  <c r="D101" i="99"/>
  <c r="C101" i="99"/>
  <c r="B98" i="103"/>
  <c r="A99" i="103"/>
  <c r="F98" i="103"/>
  <c r="E98" i="103"/>
  <c r="G98" i="103"/>
  <c r="A104" i="97"/>
  <c r="B103" i="97"/>
  <c r="G103" i="97"/>
  <c r="E103" i="97"/>
  <c r="F103" i="97"/>
  <c r="E100" i="101"/>
  <c r="G100" i="101"/>
  <c r="F100" i="101"/>
  <c r="B100" i="101"/>
  <c r="A101" i="101"/>
  <c r="A100" i="103" l="1"/>
  <c r="B99" i="103"/>
  <c r="E99" i="103"/>
  <c r="F99" i="103"/>
  <c r="G99" i="103"/>
  <c r="D98" i="103"/>
  <c r="C98" i="103"/>
  <c r="C102" i="99"/>
  <c r="D102" i="99"/>
  <c r="C99" i="102"/>
  <c r="D99" i="102"/>
  <c r="E104" i="96"/>
  <c r="F104" i="96"/>
  <c r="G104" i="96"/>
  <c r="B104" i="96"/>
  <c r="G101" i="101"/>
  <c r="E101" i="101"/>
  <c r="A102" i="101"/>
  <c r="F101" i="101"/>
  <c r="B101" i="101"/>
  <c r="C103" i="97"/>
  <c r="D103" i="97"/>
  <c r="C101" i="100"/>
  <c r="D101" i="100"/>
  <c r="D100" i="101"/>
  <c r="C100" i="101"/>
  <c r="G104" i="95"/>
  <c r="B104" i="95"/>
  <c r="F104" i="95"/>
  <c r="E104" i="95"/>
  <c r="D103" i="96"/>
  <c r="C103" i="96"/>
  <c r="B103" i="99"/>
  <c r="E103" i="99"/>
  <c r="F103" i="99"/>
  <c r="A104" i="99"/>
  <c r="G103" i="99"/>
  <c r="C103" i="95"/>
  <c r="D103" i="95"/>
  <c r="D102" i="88"/>
  <c r="C102" i="88"/>
  <c r="F103" i="98"/>
  <c r="E103" i="98"/>
  <c r="B103" i="98"/>
  <c r="G103" i="98"/>
  <c r="A104" i="98"/>
  <c r="F102" i="100"/>
  <c r="E102" i="100"/>
  <c r="A103" i="100"/>
  <c r="B102" i="100"/>
  <c r="G102" i="100"/>
  <c r="G104" i="97"/>
  <c r="E104" i="97"/>
  <c r="B104" i="97"/>
  <c r="F104" i="97"/>
  <c r="D98" i="104"/>
  <c r="C98" i="104"/>
  <c r="E103" i="88"/>
  <c r="G103" i="88"/>
  <c r="A104" i="88"/>
  <c r="F103" i="88"/>
  <c r="B103" i="88"/>
  <c r="D102" i="98"/>
  <c r="C102" i="98"/>
  <c r="G99" i="104"/>
  <c r="F99" i="104"/>
  <c r="E99" i="104"/>
  <c r="B99" i="104"/>
  <c r="A100" i="104"/>
  <c r="G100" i="102"/>
  <c r="F100" i="102"/>
  <c r="A101" i="102"/>
  <c r="E100" i="102"/>
  <c r="B100" i="102"/>
  <c r="G101" i="102" l="1"/>
  <c r="E101" i="102"/>
  <c r="B101" i="102"/>
  <c r="F101" i="102"/>
  <c r="A102" i="102"/>
  <c r="D104" i="96"/>
  <c r="C104" i="96"/>
  <c r="D103" i="88"/>
  <c r="C103" i="88"/>
  <c r="C104" i="97"/>
  <c r="D104" i="97"/>
  <c r="E104" i="98"/>
  <c r="G104" i="98"/>
  <c r="F104" i="98"/>
  <c r="B104" i="98"/>
  <c r="F100" i="104"/>
  <c r="B100" i="104"/>
  <c r="A101" i="104"/>
  <c r="G100" i="104"/>
  <c r="E100" i="104"/>
  <c r="C99" i="104"/>
  <c r="D99" i="104"/>
  <c r="C103" i="98"/>
  <c r="D103" i="98"/>
  <c r="G104" i="99"/>
  <c r="F104" i="99"/>
  <c r="E104" i="99"/>
  <c r="B104" i="99"/>
  <c r="D104" i="95"/>
  <c r="C104" i="95"/>
  <c r="C101" i="101"/>
  <c r="D101" i="101"/>
  <c r="G104" i="88"/>
  <c r="F104" i="88"/>
  <c r="E104" i="88"/>
  <c r="B104" i="88"/>
  <c r="C102" i="100"/>
  <c r="D102" i="100"/>
  <c r="G102" i="101"/>
  <c r="A103" i="101"/>
  <c r="E102" i="101"/>
  <c r="F102" i="101"/>
  <c r="B102" i="101"/>
  <c r="C99" i="103"/>
  <c r="D99" i="103"/>
  <c r="C100" i="102"/>
  <c r="D100" i="102"/>
  <c r="E103" i="100"/>
  <c r="F103" i="100"/>
  <c r="B103" i="100"/>
  <c r="A104" i="100"/>
  <c r="G103" i="100"/>
  <c r="C103" i="99"/>
  <c r="D103" i="99"/>
  <c r="A101" i="103"/>
  <c r="F100" i="103"/>
  <c r="B100" i="103"/>
  <c r="E100" i="103"/>
  <c r="G100" i="103"/>
  <c r="B103" i="101" l="1"/>
  <c r="G103" i="101"/>
  <c r="F103" i="101"/>
  <c r="E103" i="101"/>
  <c r="A104" i="101"/>
  <c r="E101" i="103"/>
  <c r="G101" i="103"/>
  <c r="A102" i="103"/>
  <c r="B101" i="103"/>
  <c r="F101" i="103"/>
  <c r="C104" i="98"/>
  <c r="D104" i="98"/>
  <c r="E102" i="102"/>
  <c r="A103" i="102"/>
  <c r="G102" i="102"/>
  <c r="B102" i="102"/>
  <c r="F102" i="102"/>
  <c r="D104" i="88"/>
  <c r="C104" i="88"/>
  <c r="C104" i="99"/>
  <c r="D104" i="99"/>
  <c r="G104" i="100"/>
  <c r="B104" i="100"/>
  <c r="F104" i="100"/>
  <c r="E104" i="100"/>
  <c r="C102" i="101"/>
  <c r="D102" i="101"/>
  <c r="C101" i="102"/>
  <c r="D101" i="102"/>
  <c r="D103" i="100"/>
  <c r="C103" i="100"/>
  <c r="E101" i="104"/>
  <c r="F101" i="104"/>
  <c r="A102" i="104"/>
  <c r="G101" i="104"/>
  <c r="B101" i="104"/>
  <c r="C100" i="103"/>
  <c r="D100" i="103"/>
  <c r="C100" i="104"/>
  <c r="D100" i="104"/>
  <c r="A103" i="103" l="1"/>
  <c r="E102" i="103"/>
  <c r="B102" i="103"/>
  <c r="G102" i="103"/>
  <c r="F102" i="103"/>
  <c r="D104" i="100"/>
  <c r="C104" i="100"/>
  <c r="B103" i="102"/>
  <c r="G103" i="102"/>
  <c r="E103" i="102"/>
  <c r="A104" i="102"/>
  <c r="F103" i="102"/>
  <c r="F104" i="101"/>
  <c r="E104" i="101"/>
  <c r="B104" i="101"/>
  <c r="G104" i="101"/>
  <c r="C102" i="102"/>
  <c r="D102" i="102"/>
  <c r="C101" i="104"/>
  <c r="D101" i="104"/>
  <c r="G102" i="104"/>
  <c r="F102" i="104"/>
  <c r="E102" i="104"/>
  <c r="B102" i="104"/>
  <c r="A103" i="104"/>
  <c r="C101" i="103"/>
  <c r="D101" i="103"/>
  <c r="D103" i="101"/>
  <c r="C103" i="101"/>
  <c r="C103" i="102" l="1"/>
  <c r="D103" i="102"/>
  <c r="D104" i="101"/>
  <c r="C104" i="101"/>
  <c r="F104" i="102"/>
  <c r="B104" i="102"/>
  <c r="E104" i="102"/>
  <c r="G104" i="102"/>
  <c r="C102" i="103"/>
  <c r="D102" i="103"/>
  <c r="D102" i="104"/>
  <c r="C102" i="104"/>
  <c r="E103" i="104"/>
  <c r="F103" i="104"/>
  <c r="A104" i="104"/>
  <c r="G103" i="104"/>
  <c r="B103" i="104"/>
  <c r="B103" i="103"/>
  <c r="G103" i="103"/>
  <c r="A104" i="103"/>
  <c r="E103" i="103"/>
  <c r="F103" i="103"/>
  <c r="F104" i="104" l="1"/>
  <c r="E104" i="104"/>
  <c r="B104" i="104"/>
  <c r="G104" i="104"/>
  <c r="D104" i="102"/>
  <c r="C104" i="102"/>
  <c r="C103" i="103"/>
  <c r="D103" i="103"/>
  <c r="B104" i="103"/>
  <c r="F104" i="103"/>
  <c r="E104" i="103"/>
  <c r="G104" i="103"/>
  <c r="C103" i="104"/>
  <c r="D103" i="104"/>
  <c r="D104" i="104" l="1"/>
  <c r="C104" i="104"/>
  <c r="C104" i="103"/>
  <c r="D104" i="1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A3C9FDBB-E850-4BF2-B356-F82A70DF67D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DF8FB834-1D47-4397-ADEA-EAA40F90FE16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181F98E0-0FFB-415E-A965-E223EA5FDFC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DE78AFE8-04C8-4DCF-8CA2-03D982E3C4E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2EAA32A7-D17E-4F2D-8A0E-E5449D57338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FC33D146-72A2-4819-B2A5-3D514A3785F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E4AE6F3-9323-4FDF-97A2-A83FDF751A2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E39311B6-AD91-49C4-9E76-E3443E1B601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AE8B01A-DDFF-4643-BD42-4AEDCDB06C3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<sst xmlns="http://schemas.openxmlformats.org/spreadsheetml/2006/main" count="15399" uniqueCount="2549">
  <si>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</si>
  <si>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</si>
  <si>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</si>
  <si>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</si>
  <si>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</si>
  <si>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</si>
  <si>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</si>
  <si>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</si>
  <si>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</si>
  <si>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</si>
  <si>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</si>
  <si>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</si>
  <si>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</si>
  <si>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</si>
  <si>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</si>
  <si>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</si>
  <si>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</si>
  <si>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</si>
  <si>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</si>
  <si>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</si>
  <si>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</si>
  <si>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</si>
  <si>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</si>
  <si>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</si>
  <si>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</si>
  <si>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</si>
  <si>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</si>
  <si>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</si>
  <si>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</si>
  <si>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</si>
  <si>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</si>
  <si>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</si>
  <si>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</si>
  <si>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</si>
  <si>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</si>
  <si>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</si>
  <si>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</si>
  <si>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</si>
  <si>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</si>
  <si>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</si>
  <si>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</si>
  <si>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</si>
  <si>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</si>
  <si>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</si>
  <si>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</si>
  <si>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</si>
  <si>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</si>
  <si>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</si>
  <si>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</si>
  <si>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</si>
  <si>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</si>
  <si>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</si>
  <si>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</si>
  <si>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</si>
  <si>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</si>
  <si>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</si>
  <si>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</si>
  <si>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</si>
  <si>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</si>
  <si>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</si>
  <si>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</si>
  <si>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</si>
  <si>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</si>
  <si>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</si>
  <si>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</si>
  <si>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</si>
  <si>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</si>
  <si>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</si>
  <si>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</si>
  <si>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</si>
  <si>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</si>
  <si>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</si>
  <si>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</si>
  <si>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</si>
  <si>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</si>
  <si>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</si>
  <si>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</si>
  <si>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</si>
  <si>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</si>
  <si>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</si>
  <si>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</si>
  <si>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</si>
  <si>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</si>
  <si>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</si>
  <si>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</si>
  <si>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</si>
  <si>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</si>
  <si>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</si>
  <si>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</si>
  <si>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</si>
  <si>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</si>
  <si>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</si>
  <si>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</si>
  <si>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</si>
  <si>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</si>
  <si>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</si>
  <si>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</si>
  <si>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</si>
  <si>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</si>
  <si>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</si>
  <si>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</si>
  <si>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</si>
  <si>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</si>
  <si>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</si>
  <si>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</si>
  <si>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</si>
  <si>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</si>
  <si>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</si>
  <si>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</si>
  <si>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</si>
  <si>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</si>
  <si>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</si>
  <si>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</si>
  <si>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</si>
  <si>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</si>
  <si>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</si>
  <si>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</si>
  <si>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</si>
  <si>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</si>
  <si>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</si>
  <si>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</si>
  <si>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</si>
  <si>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</si>
  <si>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</si>
  <si>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</si>
  <si>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</si>
  <si>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</si>
  <si>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</si>
  <si>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</si>
  <si>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</si>
  <si>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</si>
  <si>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</si>
  <si>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</si>
  <si>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</si>
  <si>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</si>
  <si>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</si>
  <si>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</si>
  <si>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</si>
  <si>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</si>
  <si>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</si>
  <si>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</si>
  <si>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</si>
  <si>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</si>
  <si>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</si>
  <si>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</si>
  <si>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</si>
  <si>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</si>
  <si>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</si>
  <si>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</si>
  <si>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</si>
  <si>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</si>
  <si>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</si>
  <si>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</si>
  <si>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</si>
  <si>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</si>
  <si>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</si>
  <si>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</si>
  <si>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</si>
  <si>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</si>
  <si>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</si>
  <si>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</si>
  <si>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</si>
  <si>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</si>
  <si>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</si>
  <si>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</si>
  <si>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</si>
  <si>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</si>
  <si>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</si>
  <si>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</si>
  <si>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</si>
  <si>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</si>
  <si>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</si>
  <si>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</si>
  <si>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</si>
  <si>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</si>
  <si>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</si>
  <si>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</si>
  <si>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</si>
  <si>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</si>
  <si>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</si>
  <si>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</si>
  <si>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</si>
  <si>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</si>
  <si>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</si>
  <si>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</si>
  <si>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</si>
  <si>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</si>
  <si>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</si>
  <si>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</si>
  <si>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</si>
  <si>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</si>
  <si>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</si>
  <si>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</si>
  <si>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</si>
  <si>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</si>
  <si>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</si>
  <si>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</si>
  <si>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</si>
  <si>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</si>
  <si>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</si>
  <si>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</si>
  <si>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</si>
  <si>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</si>
  <si>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</si>
  <si>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</si>
  <si>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</si>
  <si>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</si>
  <si>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</si>
  <si>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</si>
  <si>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</si>
  <si>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</si>
  <si>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</si>
  <si>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</si>
  <si>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</si>
  <si>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</si>
  <si>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</si>
  <si>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</si>
  <si>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</si>
  <si>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</si>
  <si>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</si>
  <si>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</si>
  <si>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</si>
  <si>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</si>
  <si>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</si>
  <si>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</si>
  <si>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</si>
  <si>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</si>
  <si>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</si>
  <si>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</si>
  <si>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</si>
  <si>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</si>
  <si>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</si>
  <si>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</si>
  <si>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</si>
  <si>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</si>
  <si>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</si>
  <si>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</si>
  <si>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</si>
  <si>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</si>
  <si>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</si>
  <si>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</si>
  <si>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</si>
  <si>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</si>
  <si>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</si>
  <si>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</si>
  <si>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</si>
  <si>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</si>
  <si>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</si>
  <si>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</si>
  <si>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</si>
  <si>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</si>
  <si>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</si>
  <si>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</si>
  <si>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</si>
  <si>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</si>
  <si>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</si>
  <si>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</si>
  <si>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</si>
  <si>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</si>
  <si>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</si>
  <si>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</si>
  <si>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</si>
  <si>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</si>
  <si>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</si>
  <si>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</si>
  <si>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</si>
  <si>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</si>
  <si>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</si>
  <si>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</si>
  <si>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</si>
  <si>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</si>
  <si>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</si>
  <si>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</si>
  <si>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</si>
  <si>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</si>
  <si>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</si>
  <si>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</si>
  <si>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</si>
  <si>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</si>
  <si>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</si>
  <si>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</si>
  <si>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</si>
  <si>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</si>
  <si>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</si>
  <si>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</si>
  <si>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</si>
  <si>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</si>
  <si>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</si>
  <si>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</si>
  <si>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</si>
  <si>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</si>
  <si>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</si>
  <si>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</si>
  <si>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</si>
  <si>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</si>
  <si>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</si>
  <si>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</si>
  <si>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</si>
  <si>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</si>
  <si>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</si>
  <si>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</si>
  <si>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</si>
  <si>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</si>
  <si>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</si>
  <si>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</si>
  <si>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</si>
  <si>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</si>
  <si>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</si>
  <si>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</si>
  <si>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</si>
  <si>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</si>
  <si>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</si>
  <si>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</si>
  <si>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</si>
  <si>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</si>
  <si>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</si>
  <si>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</si>
  <si>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</si>
  <si>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</si>
  <si>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</si>
  <si>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</si>
  <si>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</si>
  <si>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</si>
  <si>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</si>
  <si>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</si>
  <si>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</si>
  <si>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</si>
  <si>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</si>
  <si>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</si>
  <si>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</si>
  <si>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</si>
  <si>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</si>
  <si>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</si>
  <si>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</si>
  <si>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</si>
  <si>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</si>
  <si>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</si>
  <si>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</si>
  <si>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</si>
  <si>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</si>
  <si>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</si>
  <si>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</si>
  <si>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</si>
  <si>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</si>
  <si>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</si>
  <si>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</si>
  <si>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</si>
  <si>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</si>
  <si>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</si>
  <si>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</si>
  <si>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</si>
  <si>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</si>
  <si>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</si>
  <si>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</si>
  <si>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</si>
  <si>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</si>
  <si>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</si>
  <si>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</si>
  <si>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</si>
  <si>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</si>
  <si>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</si>
  <si>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</si>
  <si>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</si>
  <si>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</si>
  <si>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</si>
  <si>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</si>
  <si>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</si>
  <si>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</si>
  <si>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</si>
  <si>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</si>
  <si>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</si>
  <si>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</si>
  <si>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</si>
  <si>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</si>
  <si>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</si>
  <si>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</si>
  <si>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</si>
  <si>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</si>
  <si>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</si>
  <si>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</si>
  <si>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</si>
  <si>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</si>
  <si>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</si>
  <si>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</si>
  <si>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</si>
  <si>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</si>
  <si>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</si>
  <si>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</si>
  <si>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</si>
  <si>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</si>
  <si>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</si>
  <si>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</si>
  <si>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</si>
  <si>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</si>
  <si>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</si>
  <si>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</si>
  <si>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</si>
  <si>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</si>
  <si>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</si>
  <si>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</si>
  <si>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</si>
  <si>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</si>
  <si>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</si>
  <si>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</si>
  <si>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</si>
  <si>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</si>
  <si>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</si>
  <si>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</si>
  <si>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</si>
  <si>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</si>
  <si>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</si>
  <si>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</si>
  <si>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</si>
  <si>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</si>
  <si>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</si>
  <si>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</si>
  <si>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</si>
  <si>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</si>
  <si>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</si>
  <si>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</si>
  <si>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</si>
  <si>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</si>
  <si>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</si>
  <si>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</si>
  <si>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</si>
  <si>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</si>
  <si>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</si>
  <si>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</si>
  <si>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</si>
  <si>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</si>
  <si>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</si>
  <si>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</si>
  <si>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</si>
  <si>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</si>
  <si>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</si>
  <si>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</si>
  <si>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</si>
  <si>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</si>
  <si>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</si>
  <si>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</si>
  <si>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</si>
  <si>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</si>
  <si>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</si>
  <si>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</si>
  <si>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</si>
  <si>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</si>
  <si>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</si>
  <si>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</si>
  <si>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</si>
  <si>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</si>
  <si>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</si>
  <si>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</si>
  <si>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</si>
  <si>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</si>
  <si>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</si>
  <si>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</si>
  <si>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</si>
  <si>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</si>
  <si>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</si>
  <si>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</si>
  <si>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</si>
  <si>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</si>
  <si>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</si>
  <si>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</si>
  <si>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</si>
  <si>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</si>
  <si>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</si>
  <si>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</si>
  <si>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</si>
  <si>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</si>
  <si>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</si>
  <si>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</si>
  <si>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</si>
  <si>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</si>
  <si>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</si>
  <si>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</si>
  <si>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</si>
  <si>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</si>
  <si>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</si>
  <si>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</si>
  <si>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</si>
  <si>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</si>
  <si>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</si>
  <si>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</si>
  <si>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</si>
  <si>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</si>
  <si>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</si>
  <si>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</si>
  <si>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</si>
  <si>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</si>
  <si>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</si>
  <si>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</si>
  <si>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</si>
  <si>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</si>
  <si>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</si>
  <si>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</si>
  <si>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</si>
  <si>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</si>
  <si>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</si>
  <si>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</si>
  <si>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</si>
  <si>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</si>
  <si>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</si>
  <si>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</si>
  <si>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</si>
  <si>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</si>
  <si>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</si>
  <si>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</si>
  <si>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</si>
  <si>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</si>
  <si>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</si>
  <si>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</si>
  <si>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</si>
  <si>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</si>
  <si>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</si>
  <si>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</si>
  <si>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</si>
  <si>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</si>
  <si>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</si>
  <si>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</si>
  <si>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</si>
  <si>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</si>
  <si>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</si>
  <si>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</si>
  <si>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</si>
  <si>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</si>
  <si>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</si>
  <si>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</si>
  <si>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</si>
  <si>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</si>
  <si>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</si>
  <si>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</si>
  <si>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</si>
  <si>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</si>
  <si>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</si>
  <si>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</si>
  <si>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</si>
  <si>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</si>
  <si>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</si>
  <si>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</si>
  <si>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</si>
  <si>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</si>
  <si>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</si>
  <si>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</si>
  <si>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</si>
  <si>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</si>
  <si>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</si>
  <si>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</si>
  <si>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</si>
  <si>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</si>
  <si>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</si>
  <si>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</si>
  <si>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</si>
  <si>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</si>
  <si>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</si>
  <si>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</si>
  <si>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</si>
  <si>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</si>
  <si>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</si>
  <si>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</si>
  <si>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</si>
  <si>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</si>
  <si>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</si>
  <si>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</si>
  <si>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</si>
  <si>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</si>
  <si>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</si>
  <si>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</si>
  <si>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</si>
  <si>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</si>
  <si>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</si>
  <si>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</si>
  <si>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</si>
  <si>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</si>
  <si>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</si>
  <si>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</si>
  <si>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</si>
  <si>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</si>
  <si>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</si>
  <si>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</si>
  <si>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</si>
  <si>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</si>
  <si>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</si>
  <si>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</si>
  <si>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</si>
  <si>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</si>
  <si>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</si>
  <si>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</si>
  <si>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</si>
  <si>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</si>
  <si>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</si>
  <si>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</si>
  <si>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</si>
  <si>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</si>
  <si>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</si>
  <si>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</si>
  <si>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</si>
  <si>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</si>
  <si>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</si>
  <si>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</si>
  <si>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</si>
  <si>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</si>
  <si>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</si>
  <si>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</si>
  <si>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</si>
  <si>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</si>
  <si>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</si>
  <si>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</si>
  <si>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</si>
  <si>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</si>
  <si>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</si>
  <si>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</si>
  <si>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</si>
  <si>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</si>
  <si>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</si>
  <si>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</si>
  <si>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</si>
  <si>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</si>
  <si>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</si>
  <si>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</si>
  <si>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</si>
  <si>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</si>
  <si>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</si>
  <si>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</si>
  <si>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</si>
  <si>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</si>
  <si>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</si>
  <si>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</si>
  <si>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</si>
  <si>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</si>
  <si>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</si>
  <si>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</si>
  <si>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</si>
  <si>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</si>
  <si>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</si>
  <si>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</si>
  <si>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</si>
  <si>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</si>
  <si>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</si>
  <si>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</si>
  <si>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</si>
  <si>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</si>
  <si>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</si>
  <si>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</si>
  <si>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</si>
  <si>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</si>
  <si>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</si>
  <si>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</si>
  <si>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</si>
  <si>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</si>
  <si>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</si>
  <si>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</si>
  <si>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</si>
  <si>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</si>
  <si>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</si>
  <si>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</si>
  <si>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</si>
  <si>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</si>
  <si>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</si>
  <si>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</si>
  <si>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</si>
  <si>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</si>
  <si>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</si>
  <si>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</si>
  <si>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</si>
  <si>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</si>
  <si>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</si>
  <si>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</si>
  <si>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</si>
  <si>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</si>
  <si>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</si>
  <si>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</si>
  <si>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</si>
  <si>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</si>
  <si>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</si>
  <si>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</si>
  <si>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</si>
  <si>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</si>
  <si>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</si>
  <si>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</si>
  <si>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</si>
  <si>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</si>
  <si>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</si>
  <si>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</si>
  <si>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</si>
  <si>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</si>
  <si>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</si>
  <si>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</si>
  <si>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</si>
  <si>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</si>
  <si>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</si>
  <si>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</si>
  <si>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</si>
  <si>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</si>
  <si>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</si>
  <si>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</si>
  <si>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</si>
  <si>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</si>
  <si>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</si>
  <si>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</si>
  <si>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</si>
  <si>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</si>
  <si>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</si>
  <si>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</si>
  <si>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</si>
  <si>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</si>
  <si>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</si>
  <si>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</si>
  <si>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</si>
  <si>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</si>
  <si>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</si>
  <si>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</si>
  <si>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</si>
  <si>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</si>
  <si>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</si>
  <si>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</si>
  <si>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</si>
  <si>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</si>
  <si>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</si>
  <si>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</si>
  <si>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</si>
  <si>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</si>
  <si>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</si>
  <si>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</si>
  <si>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</si>
  <si>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</si>
  <si>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</si>
  <si>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</si>
  <si>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</si>
  <si>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</si>
  <si>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</si>
  <si>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</si>
  <si>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</si>
  <si>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</si>
  <si>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</si>
  <si>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</si>
  <si>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</si>
  <si>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</si>
  <si>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</si>
  <si>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</si>
  <si>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</si>
  <si>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</si>
  <si>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</si>
  <si>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</si>
  <si>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</si>
  <si>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</si>
  <si>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</si>
  <si>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</si>
  <si>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</si>
  <si>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</si>
  <si>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</si>
  <si>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</si>
  <si>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</si>
  <si>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</si>
  <si>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</si>
  <si>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</si>
  <si>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</si>
  <si>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</si>
  <si>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</si>
  <si>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</si>
  <si>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</si>
  <si>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</si>
  <si>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</si>
  <si>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</si>
  <si>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</si>
  <si>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</si>
  <si>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</si>
  <si>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</si>
  <si>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</si>
  <si>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</si>
  <si>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</si>
  <si>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</si>
  <si>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</si>
  <si>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</si>
  <si>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</si>
  <si>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</si>
  <si>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</si>
  <si>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</si>
  <si>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</si>
  <si>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</si>
  <si>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</si>
  <si>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</si>
  <si>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</si>
  <si>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</si>
  <si>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</si>
  <si>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</si>
  <si>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</si>
  <si>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</si>
  <si>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</si>
  <si>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</si>
  <si>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</si>
  <si>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</si>
  <si>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</si>
  <si>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</si>
  <si>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</si>
  <si>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</si>
  <si>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</si>
  <si>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</si>
  <si>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</si>
  <si>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</si>
  <si>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</si>
  <si>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</si>
  <si>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</si>
  <si>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</si>
  <si>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</si>
  <si>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</si>
  <si>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</si>
  <si>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</si>
  <si>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</si>
  <si>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</si>
  <si>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</si>
  <si>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</si>
  <si>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</si>
  <si>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</si>
  <si>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</si>
  <si>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</si>
  <si>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</si>
  <si>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</si>
  <si>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</si>
  <si>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</si>
  <si>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</si>
  <si>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</si>
  <si>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</si>
  <si>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</si>
  <si>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</si>
  <si>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</si>
  <si>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</si>
  <si>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</si>
  <si>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</si>
  <si>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</si>
  <si>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</si>
  <si>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</si>
  <si>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</si>
  <si>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</si>
  <si>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</si>
  <si>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</si>
  <si>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</si>
  <si>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</si>
  <si>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</si>
  <si>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</si>
  <si>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</si>
  <si>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</si>
  <si>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</si>
  <si>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</si>
  <si>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</si>
  <si>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</si>
  <si>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</si>
  <si>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</si>
  <si>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</si>
  <si>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</si>
  <si>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</si>
  <si>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</si>
  <si>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</si>
  <si>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</si>
  <si>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</si>
  <si>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</si>
  <si>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</si>
  <si>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</si>
  <si>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</si>
  <si>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</si>
  <si>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</si>
  <si>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</si>
  <si>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</si>
  <si>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</si>
  <si>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</si>
  <si>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</si>
  <si>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</si>
  <si>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</si>
  <si>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</si>
  <si>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</si>
  <si>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</si>
  <si>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</si>
  <si>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</si>
  <si>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</si>
  <si>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</si>
  <si>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</si>
  <si>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</si>
  <si>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</si>
  <si>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</si>
  <si>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</si>
  <si>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</si>
  <si>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</si>
  <si>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</si>
  <si>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</si>
  <si>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</si>
  <si>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</si>
  <si>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</si>
  <si>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</si>
  <si>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</si>
  <si>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</si>
  <si>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</si>
  <si>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</si>
  <si>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</si>
  <si>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</si>
  <si>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</si>
  <si>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</si>
  <si>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</si>
  <si>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</si>
  <si>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</si>
  <si>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</si>
  <si>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</si>
  <si>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</si>
  <si>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</si>
  <si>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</si>
  <si>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</si>
  <si>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</si>
  <si>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</si>
  <si>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</si>
  <si>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</si>
  <si>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</si>
  <si>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</si>
  <si>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</si>
  <si>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</si>
  <si>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</si>
  <si>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</si>
  <si>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</si>
  <si>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</si>
  <si>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</si>
  <si>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</si>
  <si>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</si>
  <si>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</si>
  <si>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</si>
  <si>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</si>
  <si>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</si>
  <si>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</si>
  <si>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</si>
  <si>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</si>
  <si>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</si>
  <si>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</si>
  <si>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</si>
  <si>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</si>
  <si>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</si>
  <si>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</si>
  <si>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</si>
  <si>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</si>
  <si>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</si>
  <si>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</si>
  <si>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</si>
  <si>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</si>
  <si>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</si>
  <si>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</si>
  <si>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</si>
  <si>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</si>
  <si>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</si>
  <si>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</si>
  <si>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</si>
  <si>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</si>
  <si>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</si>
  <si>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</si>
  <si>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</si>
  <si>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</si>
  <si>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</si>
  <si>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</si>
  <si>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</si>
  <si>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</si>
  <si>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</si>
  <si>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</si>
  <si>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</si>
  <si>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</si>
  <si>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</si>
  <si>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</si>
  <si>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</si>
  <si>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</si>
  <si>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</si>
  <si>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</si>
  <si>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</si>
  <si>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</si>
  <si>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</si>
  <si>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</si>
  <si>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</si>
  <si>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</si>
  <si>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</si>
  <si>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</si>
  <si>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</si>
  <si>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</si>
  <si>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</si>
  <si>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</si>
  <si>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</si>
  <si>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</si>
  <si>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</si>
  <si>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</si>
  <si>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</si>
  <si>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</si>
  <si>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</si>
  <si>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</si>
  <si>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</si>
  <si>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</si>
  <si>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</si>
  <si>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</si>
  <si>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</si>
  <si>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</si>
  <si>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</si>
  <si>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</si>
  <si>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</si>
  <si>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</si>
  <si>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</si>
  <si>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</si>
  <si>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</si>
  <si>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</si>
  <si>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</si>
  <si>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</si>
  <si>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</si>
  <si>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</si>
  <si>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</si>
  <si>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</si>
  <si>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</si>
  <si>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</si>
  <si>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</si>
  <si>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</si>
  <si>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</si>
  <si>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</si>
  <si>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</si>
  <si>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</si>
  <si>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</si>
  <si>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</si>
  <si>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</si>
  <si>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</si>
  <si>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</si>
  <si>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</si>
  <si>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</si>
  <si>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</si>
  <si>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</si>
  <si>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</si>
  <si>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</si>
  <si>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</si>
  <si>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</si>
  <si>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</si>
  <si>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</si>
  <si>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</si>
  <si>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</si>
  <si>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</si>
  <si>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</si>
  <si>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</si>
  <si>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</si>
  <si>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</si>
  <si>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</si>
  <si>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</si>
  <si>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</si>
  <si>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</si>
  <si>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</si>
  <si>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</si>
  <si>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</si>
  <si>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</si>
  <si>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</si>
  <si>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</si>
  <si>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</si>
  <si>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</si>
  <si>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</si>
  <si>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</si>
  <si>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</si>
  <si>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</si>
  <si>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</si>
  <si>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</si>
  <si>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</si>
  <si>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</si>
  <si>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</si>
  <si>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</si>
  <si>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</si>
  <si>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</si>
  <si>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</si>
  <si>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</si>
  <si>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</si>
  <si>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</si>
  <si>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</si>
  <si>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</si>
  <si>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</si>
  <si>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</si>
  <si>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</si>
  <si>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</si>
  <si>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</si>
  <si>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</si>
  <si>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</si>
  <si>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</si>
  <si>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</si>
  <si>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</si>
  <si>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</si>
  <si>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</si>
  <si>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</si>
  <si>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</si>
  <si>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</si>
  <si>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</si>
  <si>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</si>
  <si>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</si>
  <si>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</si>
  <si>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</si>
  <si>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</si>
  <si>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</si>
  <si>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</si>
  <si>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</si>
  <si>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</si>
  <si>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</si>
  <si>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</si>
  <si>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</si>
  <si>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</si>
  <si>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</si>
  <si>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</si>
  <si>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</si>
  <si>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</si>
  <si>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</si>
  <si>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</si>
  <si>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</si>
  <si>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</si>
  <si>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</si>
  <si>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</si>
  <si>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</si>
  <si>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</si>
  <si>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</si>
  <si>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</si>
  <si>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</si>
  <si>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</si>
  <si>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</si>
  <si>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</si>
  <si>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</si>
  <si>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</si>
  <si>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</si>
  <si>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</si>
  <si>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</si>
  <si>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</si>
  <si>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</si>
  <si>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</si>
  <si>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</si>
  <si>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</si>
  <si>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</si>
  <si>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</si>
  <si>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</si>
  <si>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</si>
  <si>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</si>
  <si>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</si>
  <si>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</si>
  <si>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</si>
  <si>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</si>
  <si>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</si>
  <si>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</si>
  <si>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</si>
  <si>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</si>
  <si>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</si>
  <si>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</si>
  <si>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</si>
  <si>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</si>
  <si>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</si>
  <si>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</si>
  <si>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</si>
  <si>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</si>
  <si>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</si>
  <si>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</si>
  <si>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</si>
  <si>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</si>
  <si>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</si>
  <si>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</si>
  <si>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</si>
  <si>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</si>
  <si>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</si>
  <si>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</si>
  <si>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</si>
  <si>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</si>
  <si>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</si>
  <si>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</si>
  <si>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</si>
  <si>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</si>
  <si>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</si>
  <si>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</si>
  <si>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</si>
  <si>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</si>
  <si>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</si>
  <si>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</si>
  <si>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</si>
  <si>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</si>
  <si>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</si>
  <si>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</si>
  <si>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</si>
  <si>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</si>
  <si>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</si>
  <si>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</si>
  <si>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</si>
  <si>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</si>
  <si>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</si>
  <si>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</si>
  <si>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</si>
  <si>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</si>
  <si>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</si>
  <si>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</si>
  <si>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</si>
  <si>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</si>
  <si>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</si>
  <si>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</si>
  <si>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</si>
  <si>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</si>
  <si>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</si>
  <si>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</si>
  <si>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</si>
  <si>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</si>
  <si>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</si>
  <si>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</si>
  <si>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</si>
  <si>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</si>
  <si>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</si>
  <si>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</si>
  <si>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</si>
  <si>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</si>
  <si>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</si>
  <si>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</si>
  <si>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</si>
  <si>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</si>
  <si>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</si>
  <si>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</si>
  <si>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</si>
  <si>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</si>
  <si>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</si>
  <si>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</si>
  <si>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</si>
  <si>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</si>
  <si>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</si>
  <si>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</si>
  <si>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</si>
  <si>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</si>
  <si>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</si>
  <si>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</si>
  <si>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</si>
  <si>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</si>
  <si>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</si>
  <si>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</si>
  <si>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</si>
  <si>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</si>
  <si>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</si>
  <si>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</si>
  <si>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</si>
  <si>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</si>
  <si>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</si>
  <si>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</si>
  <si>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</si>
  <si>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</si>
  <si>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</si>
  <si>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</si>
  <si>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</si>
  <si>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</si>
  <si>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</si>
  <si>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</si>
  <si>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</si>
  <si>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</si>
  <si>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</si>
  <si>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</si>
  <si>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</si>
  <si>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</si>
  <si>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</si>
  <si>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</si>
  <si>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</si>
  <si>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</si>
  <si>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</si>
  <si>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</si>
  <si>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</si>
  <si>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</si>
  <si>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</si>
  <si>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</si>
  <si>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</si>
  <si>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</si>
  <si>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</si>
  <si>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</si>
  <si>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</si>
  <si>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</si>
  <si>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</si>
  <si>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</si>
  <si>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</si>
  <si>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</si>
  <si>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</si>
  <si>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</si>
  <si>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</si>
  <si>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</si>
  <si>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</si>
  <si>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</si>
  <si>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</si>
  <si>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</si>
  <si>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</si>
  <si>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</si>
  <si>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</si>
  <si>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</si>
  <si>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</si>
  <si>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</si>
  <si>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</si>
  <si>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</si>
  <si>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</si>
  <si>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</si>
  <si>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</si>
  <si>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</si>
  <si>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</si>
  <si>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</si>
  <si>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</si>
  <si>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</si>
  <si>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</si>
  <si>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</si>
  <si>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</si>
  <si>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</si>
  <si>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</si>
  <si>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</si>
  <si>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</si>
  <si>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</si>
  <si>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</si>
  <si>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</si>
  <si>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</si>
  <si>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</si>
  <si>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</si>
  <si>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</si>
  <si>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</si>
  <si>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</si>
  <si>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</si>
  <si>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</si>
  <si>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</si>
  <si>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</si>
  <si>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</si>
  <si>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</si>
  <si>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</si>
  <si>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</si>
  <si>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</si>
  <si>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</si>
  <si>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</si>
  <si>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</si>
  <si>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</si>
  <si>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</si>
  <si>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</si>
  <si>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</si>
  <si>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</si>
  <si>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</si>
  <si>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</si>
  <si>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</si>
  <si>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</si>
  <si>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</si>
  <si>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</si>
  <si>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</si>
  <si>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</si>
  <si>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</si>
  <si>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</si>
  <si>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</si>
  <si>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</si>
  <si>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</si>
  <si>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</si>
  <si>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</si>
  <si>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</si>
  <si>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</si>
  <si>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</si>
  <si>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</si>
  <si>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</si>
  <si>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</si>
  <si>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</si>
  <si>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</si>
  <si>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</si>
  <si>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</si>
  <si>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</si>
  <si>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</si>
  <si>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</si>
  <si>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</si>
  <si>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</si>
  <si>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</si>
  <si>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</si>
  <si>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</si>
  <si>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</si>
  <si>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</si>
  <si>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</si>
  <si>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</si>
  <si>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</si>
  <si>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</si>
  <si>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</si>
  <si>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</si>
  <si>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</si>
  <si>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</si>
  <si>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</si>
  <si>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</si>
  <si>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</si>
  <si>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</si>
  <si>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</si>
  <si>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</si>
  <si>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</si>
  <si>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</si>
  <si>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</si>
  <si>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</si>
  <si>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</si>
  <si>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</si>
  <si>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</si>
  <si>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</si>
  <si>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</si>
  <si>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</si>
  <si>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</si>
  <si>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</si>
  <si>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</si>
  <si>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</si>
  <si>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</si>
  <si>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</si>
  <si>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</si>
  <si>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</si>
  <si>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</si>
  <si>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</si>
  <si>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</si>
  <si>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</si>
  <si>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</si>
  <si>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</si>
  <si>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</si>
  <si>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</si>
  <si>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</si>
  <si>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</si>
  <si>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</si>
  <si>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</si>
  <si>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</si>
  <si>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</si>
  <si>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</si>
  <si>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</si>
  <si>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</si>
  <si>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</si>
  <si>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</si>
  <si>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</si>
  <si>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</si>
  <si>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</si>
  <si>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</si>
  <si>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</si>
  <si>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</si>
  <si>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</si>
  <si>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</si>
  <si>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</si>
  <si>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</si>
  <si>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</si>
  <si>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</si>
  <si>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</si>
  <si>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</si>
  <si>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</si>
  <si>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</si>
  <si>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</si>
  <si>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</si>
  <si>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</si>
  <si>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</si>
  <si>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</si>
  <si>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</si>
  <si>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</si>
  <si>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</si>
  <si>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</si>
  <si>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</si>
  <si>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</si>
  <si>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</si>
  <si>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</si>
  <si>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</si>
  <si>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</si>
  <si>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</si>
  <si>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</si>
  <si>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</si>
  <si>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</si>
  <si>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</si>
  <si>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</si>
  <si>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</si>
  <si>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</si>
  <si>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</si>
  <si>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</si>
  <si>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</si>
  <si>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</si>
  <si>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</si>
  <si>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</si>
  <si>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</si>
  <si>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</si>
  <si>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</si>
  <si>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</si>
  <si>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</si>
  <si>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</si>
  <si>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</si>
  <si>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</si>
  <si>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</si>
  <si>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</si>
  <si>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</si>
  <si>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</si>
  <si>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</si>
  <si>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</si>
  <si>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</si>
  <si>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</si>
  <si>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</si>
  <si>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</si>
  <si>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</si>
  <si>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</si>
  <si>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</si>
  <si>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</si>
  <si>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</si>
  <si>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</si>
  <si>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</si>
  <si>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</si>
  <si>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</si>
  <si>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</si>
  <si>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</si>
  <si>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</si>
  <si>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</si>
  <si>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</si>
  <si>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</si>
  <si>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</si>
  <si>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</si>
  <si>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</si>
  <si>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</si>
  <si>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</si>
  <si>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</si>
  <si>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</si>
  <si>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</si>
  <si>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</si>
  <si>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</si>
  <si>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</si>
  <si>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</si>
  <si>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</si>
  <si>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</si>
  <si>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</si>
  <si>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</si>
  <si>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</si>
  <si>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</si>
  <si>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</si>
  <si>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</si>
  <si>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</si>
  <si>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</si>
  <si>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</si>
  <si>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</si>
  <si>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</si>
  <si>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</si>
  <si>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</si>
  <si>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</si>
  <si>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</si>
  <si>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</si>
  <si>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</si>
  <si>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</si>
  <si>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</si>
  <si>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</si>
  <si>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</si>
  <si>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</si>
  <si>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</si>
  <si>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</si>
  <si>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</si>
  <si>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</si>
  <si>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</si>
  <si>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</si>
  <si>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</si>
  <si>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</si>
  <si>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</si>
  <si>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</si>
  <si>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</si>
  <si>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</si>
  <si>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</si>
  <si>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</si>
  <si>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</si>
  <si>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</si>
  <si>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</si>
  <si>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</si>
  <si>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</si>
  <si>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</si>
  <si>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</si>
  <si>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</si>
  <si>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</si>
  <si>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</si>
  <si>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</si>
  <si>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</si>
  <si>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</si>
  <si>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</si>
  <si>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</si>
  <si>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</si>
  <si>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</si>
  <si>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</si>
  <si>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</si>
  <si>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</si>
  <si>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</si>
  <si>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</si>
  <si>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</si>
  <si>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</si>
  <si>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</si>
  <si>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</si>
  <si>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</si>
  <si>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</si>
  <si>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</si>
  <si>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</si>
  <si>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</si>
  <si>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</si>
  <si>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</si>
  <si>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</si>
  <si>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</si>
  <si>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</si>
  <si>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</si>
  <si>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</si>
  <si>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</si>
  <si>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</si>
  <si>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</si>
  <si>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</si>
  <si>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</si>
  <si>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</si>
  <si>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</si>
  <si>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</si>
  <si>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</si>
  <si>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</si>
  <si>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</si>
  <si>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</si>
  <si>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</si>
  <si>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</si>
  <si>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</si>
  <si>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</si>
  <si>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</si>
  <si>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</si>
  <si>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</si>
  <si>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</si>
  <si>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</si>
  <si>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</si>
  <si>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</si>
  <si>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</si>
  <si>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</si>
  <si>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</si>
  <si>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</si>
  <si>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</si>
  <si>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</si>
  <si>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</si>
  <si>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</si>
  <si>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</si>
  <si>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</si>
  <si>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</si>
  <si>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</si>
  <si>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</si>
  <si>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</si>
  <si>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</si>
  <si>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</si>
  <si>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</si>
  <si>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</si>
  <si>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</si>
  <si>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</si>
  <si>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</si>
  <si>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</si>
  <si>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</si>
  <si>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</si>
  <si>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</si>
  <si>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</si>
  <si>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</si>
  <si>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</si>
  <si>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</si>
  <si>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</si>
  <si>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</si>
  <si>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</si>
  <si>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</si>
  <si>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</si>
  <si>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</si>
  <si>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</si>
  <si>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</si>
  <si>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</si>
  <si>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</si>
  <si>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</si>
  <si>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</si>
  <si>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</si>
  <si>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</si>
  <si>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</si>
  <si>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</si>
  <si>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</si>
  <si>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</si>
  <si>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</si>
  <si>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</si>
  <si>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</si>
  <si>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</si>
  <si>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</si>
  <si>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</si>
  <si>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</si>
  <si>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</si>
  <si>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</si>
  <si>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</si>
  <si>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</si>
  <si>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</si>
  <si>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</si>
  <si>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</si>
  <si>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</si>
  <si>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</si>
  <si>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</si>
  <si>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</si>
  <si>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</si>
  <si>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</si>
  <si>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</si>
  <si>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</si>
  <si>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</si>
  <si>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</si>
  <si>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</si>
  <si>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</si>
  <si>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</si>
  <si>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</si>
  <si>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</si>
  <si>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</si>
  <si>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</si>
  <si>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</si>
  <si>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</si>
  <si>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</si>
  <si>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</si>
  <si>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</si>
  <si>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</si>
  <si>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</si>
  <si>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</si>
  <si>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</si>
  <si>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</si>
  <si>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</si>
  <si>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</si>
  <si>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</si>
  <si>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</si>
  <si>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</si>
  <si>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</si>
  <si>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</si>
  <si>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</si>
  <si>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</si>
  <si>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</si>
  <si>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</si>
  <si>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</si>
  <si>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</si>
  <si>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</si>
  <si>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</si>
  <si>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</si>
  <si>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</si>
  <si>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</si>
  <si>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</si>
  <si>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</si>
  <si>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</si>
  <si>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</si>
  <si>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</si>
  <si>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</si>
  <si>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</si>
  <si>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</si>
  <si>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</si>
  <si>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</si>
  <si>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</si>
  <si>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</si>
  <si>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</si>
  <si>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</si>
  <si>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</si>
  <si>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</si>
  <si>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</si>
  <si>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</si>
  <si>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</si>
  <si>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</si>
  <si>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</si>
  <si>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</si>
  <si>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</si>
  <si>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</si>
  <si>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</si>
  <si>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</si>
  <si>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</si>
  <si>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</si>
  <si>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</si>
  <si>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</si>
  <si>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</si>
  <si>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</si>
  <si>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</si>
  <si>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</si>
  <si>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</si>
  <si>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</si>
  <si>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</si>
  <si>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</si>
  <si>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</si>
  <si>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</si>
  <si>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</si>
  <si>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</si>
  <si>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</si>
  <si>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</si>
  <si>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</si>
  <si>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</si>
  <si>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</si>
  <si>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</si>
  <si>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</si>
  <si>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</si>
  <si>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</si>
  <si>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</si>
  <si>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</si>
  <si>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</si>
  <si>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</si>
  <si>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</si>
  <si>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</si>
  <si>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</si>
  <si>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</si>
  <si>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</si>
  <si>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</si>
  <si>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</si>
  <si>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</si>
  <si>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</si>
  <si>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</si>
  <si>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</si>
  <si>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</si>
  <si>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</si>
  <si>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</si>
  <si>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</si>
  <si>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</si>
  <si>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</si>
  <si>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</si>
  <si>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</si>
  <si>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</si>
  <si>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</si>
  <si>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</si>
  <si>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</si>
  <si>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</si>
  <si>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</si>
  <si>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</si>
  <si>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</si>
  <si>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</si>
  <si>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</si>
  <si>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</si>
  <si>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</si>
  <si>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</si>
  <si>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</si>
  <si>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</si>
  <si>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</si>
  <si>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</si>
  <si>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</si>
  <si>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</si>
  <si>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</si>
  <si>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</si>
  <si>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</si>
  <si>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</si>
  <si>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</si>
  <si>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</si>
  <si>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</si>
  <si>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</si>
  <si>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</si>
  <si>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</si>
  <si>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</si>
  <si>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</si>
  <si>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</si>
  <si>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</si>
  <si>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</si>
  <si>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</si>
  <si>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</si>
  <si>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</si>
  <si>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</si>
  <si>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</si>
  <si>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</si>
  <si>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</si>
  <si>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Beste Spieler/in des Tages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</si>
  <si>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</si>
  <si>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</si>
  <si>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</si>
  <si>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</si>
  <si>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</si>
  <si>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</si>
  <si>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</si>
  <si>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</si>
  <si>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</si>
  <si>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</si>
  <si>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</si>
  <si>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</si>
  <si>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</si>
  <si>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</si>
  <si>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</si>
  <si>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</si>
  <si>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</si>
  <si>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</si>
  <si>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</si>
  <si>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</si>
  <si>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</si>
  <si>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</si>
  <si>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</si>
  <si>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</si>
  <si>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</si>
  <si>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</si>
  <si>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</si>
  <si>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</si>
  <si>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</si>
  <si>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</si>
  <si>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</si>
  <si>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</si>
  <si>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</si>
  <si>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</si>
  <si>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</si>
  <si>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</si>
  <si>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r>
      <t>Weiße Karte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</si>
  <si>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r>
      <t>Gelbe Karte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</si>
  <si>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r>
      <t>Gelbe+Rote Karte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</si>
  <si>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r>
      <t>Rote Karte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</si>
  <si>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r>
      <t>Verletzungen</t>
    </r>
    <r>
      <rPr>
        <sz val="10"/>
        <rFont val="Arial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</si>
  <si>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</si>
  <si>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</si>
  <si>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</si>
  <si>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</si>
  <si>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</si>
  <si>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</si>
  <si>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</si>
  <si>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</si>
  <si>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</si>
  <si>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</si>
  <si>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</si>
  <si>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</si>
  <si>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</si>
  <si>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</si>
  <si>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</si>
  <si>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</si>
  <si>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</si>
  <si>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</si>
  <si>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</si>
  <si>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</si>
  <si>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</si>
  <si>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</si>
  <si>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</si>
  <si>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</si>
  <si>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</si>
  <si>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</si>
  <si>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</si>
  <si>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</si>
  <si>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</si>
  <si>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</si>
  <si>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</si>
  <si>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</si>
  <si>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</si>
  <si>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</si>
  <si>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</si>
  <si>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</si>
  <si>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</si>
  <si>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</si>
  <si>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</si>
  <si>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</si>
  <si>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</si>
  <si>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</si>
  <si>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</si>
  <si>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</si>
  <si>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</si>
  <si>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</si>
  <si>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</si>
  <si>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</si>
  <si>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</si>
  <si>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</si>
  <si>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</si>
  <si>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</si>
  <si>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</si>
  <si>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</si>
  <si>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</si>
  <si>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</si>
  <si>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</si>
  <si>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</si>
  <si>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</si>
  <si>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</si>
  <si>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</si>
  <si>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</si>
  <si>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</si>
  <si>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</si>
  <si>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</si>
  <si>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</si>
  <si>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</si>
  <si>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</si>
  <si>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</si>
  <si>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</si>
  <si>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</si>
  <si>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</si>
  <si>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</si>
  <si>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</si>
  <si>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</si>
  <si>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</si>
  <si>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</si>
  <si>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</si>
  <si>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</si>
  <si>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</si>
  <si>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</si>
  <si>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</si>
  <si>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</si>
  <si>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</si>
  <si>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</si>
  <si>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</si>
  <si>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</si>
  <si>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</si>
  <si>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</si>
  <si>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</si>
  <si>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</si>
  <si>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</si>
  <si>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</si>
  <si>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</si>
  <si>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</si>
  <si>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</si>
  <si>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</si>
  <si>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</si>
  <si>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</si>
  <si>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</si>
  <si>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</si>
  <si>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</si>
  <si>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</si>
  <si>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</si>
  <si>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</si>
  <si>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</si>
  <si>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</si>
  <si>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</si>
  <si>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</si>
  <si>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</si>
  <si>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</si>
  <si>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</si>
  <si>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</si>
  <si>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</si>
  <si>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</si>
  <si>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</si>
  <si>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</si>
  <si>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</si>
  <si>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</si>
  <si>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</si>
  <si>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</si>
  <si>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</si>
  <si>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</si>
  <si>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</si>
  <si>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</si>
  <si>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</si>
  <si>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</si>
  <si>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</si>
  <si>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</si>
  <si>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</si>
  <si>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</si>
  <si>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</si>
  <si>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</si>
  <si>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</si>
  <si>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</si>
  <si>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</si>
  <si>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</si>
  <si>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</si>
  <si>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</si>
  <si>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</si>
  <si>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</si>
  <si>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</si>
  <si>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</si>
  <si>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</si>
  <si>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</si>
  <si>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</si>
  <si>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</si>
  <si>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</si>
  <si>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</si>
  <si>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</si>
  <si>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</si>
  <si>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</si>
  <si>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</si>
  <si>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</si>
  <si>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</si>
  <si>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</si>
  <si>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</si>
  <si>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</si>
  <si>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</si>
  <si>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</si>
  <si>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</si>
  <si>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</si>
  <si>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</si>
  <si>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</si>
  <si>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</si>
  <si>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</si>
  <si>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</si>
  <si>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</si>
  <si>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</si>
  <si>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</si>
  <si>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</si>
  <si>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</si>
  <si>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</si>
  <si>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</si>
  <si>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</si>
  <si>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</si>
  <si>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</si>
  <si>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</si>
  <si>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</si>
  <si>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</si>
  <si>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</si>
  <si>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</si>
  <si>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</si>
  <si>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</si>
  <si>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</si>
  <si>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</si>
  <si>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</si>
  <si>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</si>
  <si>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</si>
  <si>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</si>
  <si>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</si>
  <si>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</si>
  <si>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</si>
  <si>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</si>
  <si>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</si>
  <si>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</si>
  <si>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</si>
  <si>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</si>
  <si>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</si>
  <si>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</si>
  <si>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</si>
  <si>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</si>
  <si>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</si>
  <si>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</si>
  <si>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</si>
  <si>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</si>
  <si>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</si>
  <si>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</si>
  <si>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</si>
  <si>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</si>
  <si>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</si>
  <si>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</si>
  <si>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</si>
  <si>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</si>
  <si>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</si>
  <si>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</si>
  <si>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</si>
  <si>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</si>
  <si>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</si>
  <si>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</si>
  <si>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</si>
  <si>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</si>
  <si>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</si>
  <si>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</si>
  <si>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</si>
  <si>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</si>
  <si>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</si>
  <si>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</si>
  <si>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</si>
  <si>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</si>
  <si>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</si>
  <si>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</si>
  <si>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</si>
  <si>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</si>
  <si>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</si>
  <si>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</si>
  <si>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</si>
  <si>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</si>
  <si>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</si>
  <si>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</si>
  <si>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</si>
  <si>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</si>
  <si>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</si>
  <si>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</si>
  <si>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</si>
  <si>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</si>
  <si>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</si>
  <si>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</si>
  <si>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</si>
  <si>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</si>
  <si>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</si>
  <si>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</si>
  <si>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</si>
  <si>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</si>
  <si>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</si>
  <si>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</si>
  <si>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</si>
  <si>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</si>
  <si>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</si>
  <si>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</si>
  <si>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</si>
  <si>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</si>
  <si>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</si>
  <si>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</si>
  <si>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</si>
  <si>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</si>
  <si>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</si>
  <si>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</si>
  <si>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</si>
  <si>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</si>
  <si>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</si>
  <si>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</si>
  <si>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</si>
  <si>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</si>
  <si>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</si>
  <si>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</si>
  <si>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</si>
  <si>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</si>
  <si>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</si>
  <si>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</si>
  <si>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</si>
  <si>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</si>
  <si>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</si>
  <si>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</si>
  <si>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</si>
  <si>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</si>
  <si>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</si>
  <si>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</si>
  <si>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</si>
  <si>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</si>
  <si>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</si>
  <si>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</si>
  <si>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</si>
  <si>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</si>
  <si>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</si>
  <si>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</si>
  <si>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</si>
  <si>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</si>
  <si>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</si>
  <si>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</si>
  <si>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</si>
  <si>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</si>
  <si>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</si>
  <si>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</si>
  <si>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</si>
  <si>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</si>
  <si>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</si>
  <si>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</si>
  <si>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</si>
  <si>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</si>
  <si>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</si>
  <si>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</si>
  <si>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</si>
  <si>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</si>
  <si>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</si>
  <si>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</si>
  <si>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</si>
  <si>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</si>
  <si>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</si>
  <si>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</si>
  <si>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</si>
  <si>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</si>
  <si>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</si>
  <si>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</si>
  <si>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</si>
  <si>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</si>
  <si>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</si>
  <si>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</si>
  <si>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</si>
  <si>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</si>
  <si>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</si>
  <si>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</si>
  <si>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</si>
  <si>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</si>
  <si>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</si>
  <si>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</si>
  <si>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</si>
  <si>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</si>
  <si>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</si>
  <si>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</si>
  <si>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</si>
  <si>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</si>
  <si>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</si>
  <si>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</si>
  <si>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</si>
  <si>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</si>
  <si>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</si>
  <si>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</si>
  <si>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</si>
  <si>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</si>
  <si>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</si>
  <si>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</si>
  <si>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</si>
  <si>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</si>
  <si>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</si>
  <si>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</si>
  <si>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</si>
  <si>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</si>
  <si>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</si>
  <si>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</si>
  <si>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</si>
  <si>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</si>
  <si>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</si>
  <si>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</si>
  <si>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</si>
  <si>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</si>
  <si>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</si>
  <si>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</si>
  <si>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</si>
  <si>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</si>
  <si>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</si>
  <si>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</si>
  <si>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</si>
  <si>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</si>
  <si>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</si>
  <si>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</si>
  <si>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</si>
  <si>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</si>
  <si>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</si>
  <si>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</si>
  <si>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</si>
  <si>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</si>
  <si>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</si>
  <si>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</si>
  <si>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</si>
  <si>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</si>
  <si>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</si>
  <si>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</si>
  <si>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</si>
  <si>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</si>
  <si>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</si>
  <si>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</si>
  <si>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</si>
  <si>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</si>
  <si>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</si>
  <si>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</si>
  <si>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</si>
  <si>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</si>
  <si>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</si>
  <si>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</si>
  <si>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</si>
  <si>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</si>
  <si>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</si>
  <si>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</si>
  <si>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</si>
  <si>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</si>
  <si>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</si>
  <si>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</si>
  <si>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</si>
  <si>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</si>
  <si>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</si>
  <si>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</si>
  <si>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</si>
  <si>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</si>
  <si>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</si>
  <si>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</si>
  <si>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</si>
  <si>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</si>
  <si>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</si>
  <si>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</si>
  <si>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</si>
  <si>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</si>
  <si>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</si>
  <si>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</si>
  <si>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</si>
  <si>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</si>
  <si>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</si>
  <si>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</si>
  <si>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</si>
  <si>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</si>
  <si>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</si>
  <si>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</si>
  <si>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</si>
  <si>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</si>
  <si>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</si>
  <si>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</si>
  <si>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</si>
  <si>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</si>
  <si>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</si>
  <si>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</si>
  <si>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</si>
  <si>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</si>
  <si>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</si>
  <si>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</si>
  <si>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</si>
  <si>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</si>
  <si>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</si>
  <si>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</si>
  <si>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</si>
  <si>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</si>
  <si>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</si>
  <si>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</si>
  <si>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</si>
  <si>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</si>
  <si>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</si>
  <si>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</si>
  <si>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</si>
  <si>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</si>
  <si>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</si>
  <si>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</si>
  <si>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</si>
  <si>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</si>
  <si>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</si>
  <si>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</si>
  <si>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</si>
  <si>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</si>
  <si>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</si>
  <si>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</si>
  <si>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</si>
  <si>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</si>
  <si>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</si>
  <si>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</si>
  <si>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</si>
  <si>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</si>
  <si>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</si>
  <si>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</si>
  <si>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</si>
  <si>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</si>
  <si>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</si>
  <si>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</si>
  <si>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</si>
  <si>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</si>
  <si>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</si>
  <si>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</si>
  <si>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</si>
  <si>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</si>
  <si>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</si>
  <si>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</si>
  <si>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</si>
  <si>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</si>
  <si>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</si>
  <si>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</si>
  <si>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</si>
  <si>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</si>
  <si>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</si>
  <si>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</si>
  <si>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</si>
  <si>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</si>
  <si>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</si>
  <si>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</si>
  <si>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</si>
  <si>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</si>
  <si>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</si>
  <si>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</si>
  <si>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</si>
  <si>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</si>
  <si>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</si>
  <si>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</si>
  <si>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</si>
  <si>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</si>
  <si>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</si>
  <si>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</si>
  <si>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x</t>
  </si>
  <si>
    <t>Defekt</t>
  </si>
  <si>
    <t>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</si>
  <si>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</si>
  <si>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</si>
  <si>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</si>
  <si>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</si>
  <si>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</si>
  <si>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</si>
  <si>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</si>
  <si>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</si>
  <si>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</si>
  <si>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</si>
  <si>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</si>
  <si>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</si>
  <si>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</si>
  <si>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</si>
  <si>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</si>
  <si>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</si>
  <si>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</si>
  <si>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</si>
  <si>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</si>
  <si>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</si>
  <si>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</si>
  <si>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</si>
  <si>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</si>
  <si>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</si>
  <si>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</si>
  <si>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</si>
  <si>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</si>
  <si>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</si>
  <si>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</si>
  <si>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</si>
  <si>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</si>
  <si>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</si>
  <si>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</si>
  <si>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</si>
  <si>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</si>
  <si>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</si>
  <si>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</si>
  <si>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</si>
  <si>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</si>
  <si>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</si>
  <si>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Foullinie nicht aktiv</t>
  </si>
  <si>
    <t>Vorjahr</t>
  </si>
  <si>
    <t>2024/2025</t>
  </si>
  <si>
    <t>Lauterach Strike-Center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</si>
  <si>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</si>
  <si>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</si>
  <si>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</si>
  <si>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</si>
  <si>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</si>
  <si>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</si>
  <si>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</si>
  <si>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</si>
  <si>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</si>
  <si>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</si>
  <si>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</si>
  <si>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</si>
  <si>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</si>
  <si>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</si>
  <si>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</si>
  <si>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</si>
  <si>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</si>
  <si>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</si>
  <si>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</si>
  <si>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</si>
  <si>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</si>
  <si>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</si>
  <si>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</si>
  <si>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</si>
  <si>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</si>
  <si>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</si>
  <si>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</si>
  <si>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</si>
  <si>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</si>
  <si>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</si>
  <si>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</si>
  <si>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</si>
  <si>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</si>
  <si>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</si>
  <si>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</si>
  <si>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</si>
  <si>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</si>
  <si>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</si>
  <si>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</si>
  <si>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</si>
  <si>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</si>
  <si>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</si>
  <si>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</si>
  <si>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</si>
  <si>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</si>
  <si>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</si>
  <si>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</si>
  <si>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</si>
  <si>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</si>
  <si>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</si>
  <si>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</si>
  <si>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</si>
  <si>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</si>
  <si>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</si>
  <si>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</si>
  <si>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</si>
  <si>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</si>
  <si>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</si>
  <si>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</si>
  <si>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</si>
  <si>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</si>
  <si>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</si>
  <si>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</si>
  <si>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</si>
  <si>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</si>
  <si>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</si>
  <si>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</si>
  <si>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</si>
  <si>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</si>
  <si>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</si>
  <si>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</si>
  <si>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</si>
  <si>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</si>
  <si>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</si>
  <si>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</si>
  <si>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</si>
  <si>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</si>
  <si>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</si>
  <si>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</si>
  <si>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</si>
  <si>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</si>
  <si>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</si>
  <si>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</si>
  <si>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</si>
  <si>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</si>
  <si>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</si>
  <si>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</si>
  <si>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</si>
  <si>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</si>
  <si>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</si>
  <si>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</si>
  <si>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</si>
  <si>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</si>
  <si>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</si>
  <si>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</si>
  <si>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</si>
  <si>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</si>
  <si>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</si>
  <si>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</si>
  <si>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</si>
  <si>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</si>
  <si>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</si>
  <si>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</si>
  <si>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</si>
  <si>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02.03.</t>
  </si>
  <si>
    <t>13.10.</t>
  </si>
  <si>
    <t>03.11.</t>
  </si>
  <si>
    <t>16.02.</t>
  </si>
  <si>
    <t>13.04.</t>
  </si>
  <si>
    <t>27.04.</t>
  </si>
  <si>
    <t>Bezirksliga N1 Männer</t>
  </si>
  <si>
    <t>Castra Regina Regensburg 3</t>
  </si>
  <si>
    <t>Castra Regina Regensburg 2</t>
  </si>
  <si>
    <t>Herzogenaurach 1</t>
  </si>
  <si>
    <t>Kings Club Bayreuth Land 2</t>
  </si>
  <si>
    <t>Kings Club Bayreuth Land 3</t>
  </si>
  <si>
    <t>Adler Nürnberg 1</t>
  </si>
  <si>
    <t>Humbs Martin, Castra Regina Regensburg</t>
  </si>
  <si>
    <t>Voss Horst, BC Herzogenaurach</t>
  </si>
  <si>
    <t>Passkomntrolle: 7860 Bräutigam Marion-Stempel BBU Aus und Eintritt fehlt. 38735 Jürgens Lisa - Stempel BBU Aus und Eintritt fehlt</t>
  </si>
  <si>
    <t>Fischer Marika, Phönix Lauf</t>
  </si>
  <si>
    <t>Michael Bruksch, Flying Pins Erlangen</t>
  </si>
  <si>
    <t>Pins auf Bahn 5 wird bem zweitgen Wurf nicht aufgestellt.</t>
  </si>
  <si>
    <t>Bahn 17</t>
  </si>
  <si>
    <t>BC Castra</t>
  </si>
  <si>
    <t>Kings Club</t>
  </si>
  <si>
    <t>Martin Humbs  , BC Castra Regina</t>
  </si>
  <si>
    <t>Petra Scholl  , BC Castra Regina</t>
  </si>
  <si>
    <t>Wülfert, Frank</t>
  </si>
  <si>
    <t>Tobias Franke, Kings Club Bayreuth</t>
  </si>
  <si>
    <t>Humps Martin, Castra Regina Regensburg</t>
  </si>
  <si>
    <t>Nachmeldung KingsClub Bayreuth BAL Frank Wülfert EDV-Nr.: 07126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</si>
</sst>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</cellStyleXfs>
  <cellXfs count="396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0" fillId="0" borderId="11" xfId="0" applyBorder="1"/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5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0" fillId="0" borderId="11" xfId="0" applyBorder="1" applyAlignment="1">
      <alignment horizontal="center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5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5" fontId="2" fillId="0" borderId="33" xfId="0" applyNumberFormat="1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10" applyFont="1"/>
    <xf numFmtId="0" fontId="36" fillId="0" borderId="24" xfId="0" applyFont="1" applyBorder="1" applyAlignment="1">
      <alignment horizontal="center"/>
    </xf>
    <xf numFmtId="0" fontId="7" fillId="0" borderId="0" xfId="0" applyFont="1"/>
    <xf numFmtId="0" fontId="5" fillId="0" borderId="12" xfId="0" applyFont="1" applyBorder="1"/>
    <xf numFmtId="0" fontId="7" fillId="0" borderId="1" xfId="0" applyFont="1" applyBorder="1" applyAlignment="1">
      <alignment horizontal="center"/>
    </xf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7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166" fontId="0" fillId="0" borderId="36" xfId="0" applyNumberForma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3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8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/>
    </xf>
    <xf numFmtId="0" fontId="0" fillId="0" borderId="0" xfId="0" applyAlignment="1">
      <alignment horizontal="left"/>
    </xf>
    <xf numFmtId="0" fontId="38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9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0" xfId="0" applyBorder="1"/>
    <xf numFmtId="0" fontId="0" fillId="0" borderId="19" xfId="0" applyBorder="1"/>
    <xf numFmtId="0" fontId="0" fillId="0" borderId="41" xfId="0" applyBorder="1"/>
    <xf numFmtId="0" fontId="0" fillId="0" borderId="0" xfId="0" applyAlignment="1">
      <alignment horizontal="right"/>
    </xf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8" xfId="0" applyBorder="1" applyAlignment="1">
      <alignment vertical="center"/>
    </xf>
    <xf numFmtId="0" fontId="2" fillId="0" borderId="25" xfId="0" applyFont="1" applyBorder="1"/>
    <xf numFmtId="20" fontId="16" fillId="0" borderId="42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3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4" xfId="0" applyBorder="1"/>
    <xf numFmtId="0" fontId="16" fillId="0" borderId="40" xfId="0" applyFont="1" applyBorder="1"/>
    <xf numFmtId="0" fontId="6" fillId="0" borderId="19" xfId="0" applyFont="1" applyBorder="1"/>
    <xf numFmtId="20" fontId="16" fillId="0" borderId="42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41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8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5" fontId="5" fillId="0" borderId="45" xfId="0" applyNumberFormat="1" applyFont="1" applyBorder="1" applyAlignment="1" applyProtection="1">
      <alignment vertical="center"/>
      <protection locked="0"/>
    </xf>
    <xf numFmtId="165" fontId="5" fillId="0" borderId="16" xfId="0" applyNumberFormat="1" applyFont="1" applyBorder="1" applyAlignment="1" applyProtection="1">
      <alignment vertical="center"/>
      <protection locked="0"/>
    </xf>
    <xf numFmtId="165" fontId="5" fillId="0" borderId="46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5" fillId="0" borderId="47" xfId="0" applyNumberFormat="1" applyFont="1" applyBorder="1" applyAlignment="1" applyProtection="1">
      <alignment vertical="center"/>
      <protection locked="0"/>
    </xf>
    <xf numFmtId="166" fontId="0" fillId="0" borderId="48" xfId="0" applyNumberFormat="1" applyBorder="1" applyAlignment="1">
      <alignment horizontal="center" vertical="center"/>
    </xf>
    <xf numFmtId="166" fontId="0" fillId="0" borderId="49" xfId="0" applyNumberFormat="1" applyBorder="1" applyAlignment="1">
      <alignment horizontal="center" vertical="center"/>
    </xf>
    <xf numFmtId="166" fontId="0" fillId="0" borderId="50" xfId="0" applyNumberFormat="1" applyBorder="1" applyAlignment="1">
      <alignment horizontal="center" vertical="center"/>
    </xf>
    <xf numFmtId="171" fontId="0" fillId="0" borderId="22" xfId="0" applyNumberFormat="1" applyBorder="1" applyAlignment="1" applyProtection="1">
      <alignment horizontal="center" vertical="center"/>
      <protection locked="0"/>
    </xf>
    <xf numFmtId="171" fontId="0" fillId="0" borderId="1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0" xfId="0" applyNumberFormat="1" applyBorder="1" applyAlignment="1" applyProtection="1">
      <alignment horizontal="center" vertical="center"/>
      <protection locked="0"/>
    </xf>
    <xf numFmtId="171" fontId="5" fillId="0" borderId="33" xfId="0" applyNumberFormat="1" applyFont="1" applyBorder="1" applyAlignment="1">
      <alignment horizontal="center" vertical="center"/>
    </xf>
    <xf numFmtId="171" fontId="5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8" xfId="0" applyFont="1" applyBorder="1" applyAlignment="1">
      <alignment vertical="center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53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3" fontId="0" fillId="0" borderId="54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5" fontId="13" fillId="0" borderId="27" xfId="0" applyNumberFormat="1" applyFont="1" applyBorder="1" applyAlignment="1">
      <alignment vertical="center"/>
    </xf>
    <xf numFmtId="0" fontId="8" fillId="0" borderId="27" xfId="0" applyFont="1" applyBorder="1"/>
    <xf numFmtId="0" fontId="8" fillId="0" borderId="27" xfId="0" applyFont="1" applyBorder="1" applyAlignment="1">
      <alignment horizontal="left" vertical="center"/>
    </xf>
    <xf numFmtId="0" fontId="2" fillId="0" borderId="27" xfId="0" applyFont="1" applyBorder="1" applyAlignment="1">
      <alignment horizontal="right" vertical="center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3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3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65" fontId="10" fillId="0" borderId="0" xfId="10" applyNumberFormat="1" applyFont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0" fontId="24" fillId="0" borderId="0" xfId="0" applyFont="1"/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0" xfId="6" applyFont="1"/>
    <xf numFmtId="0" fontId="41" fillId="0" borderId="0" xfId="6" applyFont="1" applyAlignment="1">
      <alignment horizontal="center"/>
    </xf>
    <xf numFmtId="0" fontId="41" fillId="0" borderId="0" xfId="0" applyFont="1" applyAlignment="1" applyProtection="1">
      <alignment horizontal="center"/>
      <protection locked="0"/>
    </xf>
    <xf numFmtId="0" fontId="41" fillId="0" borderId="0" xfId="0" applyFont="1" applyAlignment="1">
      <alignment horizontal="center" textRotation="90"/>
    </xf>
    <xf numFmtId="49" fontId="41" fillId="0" borderId="0" xfId="0" applyNumberFormat="1" applyFont="1"/>
    <xf numFmtId="0" fontId="41" fillId="0" borderId="0" xfId="7" applyFont="1"/>
    <xf numFmtId="0" fontId="41" fillId="0" borderId="0" xfId="7" applyFont="1" applyAlignment="1">
      <alignment horizontal="center"/>
    </xf>
    <xf numFmtId="0" fontId="41" fillId="0" borderId="0" xfId="8" applyFont="1"/>
    <xf numFmtId="0" fontId="41" fillId="0" borderId="0" xfId="8" applyFont="1" applyAlignment="1">
      <alignment horizontal="center"/>
    </xf>
    <xf numFmtId="0" fontId="41" fillId="0" borderId="0" xfId="5" applyFont="1"/>
    <xf numFmtId="0" fontId="41" fillId="0" borderId="0" xfId="5" applyFont="1" applyAlignment="1">
      <alignment horizontal="center"/>
    </xf>
    <xf numFmtId="49" fontId="41" fillId="0" borderId="0" xfId="0" applyNumberFormat="1" applyFont="1" applyAlignment="1">
      <alignment horizontal="left"/>
    </xf>
    <xf numFmtId="167" fontId="41" fillId="0" borderId="0" xfId="7" applyNumberFormat="1" applyFont="1" applyAlignment="1">
      <alignment horizontal="left"/>
    </xf>
    <xf numFmtId="0" fontId="41" fillId="0" borderId="0" xfId="7" applyFont="1" applyAlignment="1">
      <alignment horizontal="left"/>
    </xf>
    <xf numFmtId="49" fontId="41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9" fillId="0" borderId="0" xfId="0" applyFont="1" applyAlignment="1" applyProtection="1">
      <alignment horizontal="left" wrapText="1"/>
      <protection locked="0"/>
    </xf>
    <xf numFmtId="168" fontId="29" fillId="0" borderId="0" xfId="0" applyNumberFormat="1" applyFont="1" applyAlignment="1" applyProtection="1">
      <alignment horizontal="right"/>
      <protection locked="0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Protection="1">
      <protection locked="0"/>
    </xf>
    <xf numFmtId="0" fontId="30" fillId="0" borderId="0" xfId="0" applyFont="1" applyAlignment="1" applyProtection="1">
      <alignment horizontal="right"/>
      <protection locked="0"/>
    </xf>
    <xf numFmtId="0" fontId="30" fillId="0" borderId="0" xfId="9" applyFont="1"/>
    <xf numFmtId="0" fontId="30" fillId="0" borderId="0" xfId="9" applyFont="1" applyAlignment="1">
      <alignment horizontal="center"/>
    </xf>
    <xf numFmtId="2" fontId="29" fillId="0" borderId="0" xfId="0" applyNumberFormat="1" applyFont="1" applyProtection="1">
      <protection locked="0"/>
    </xf>
    <xf numFmtId="0" fontId="28" fillId="0" borderId="0" xfId="0" applyFont="1" applyAlignment="1" applyProtection="1">
      <alignment horizontal="center"/>
      <protection locked="0"/>
    </xf>
    <xf numFmtId="0" fontId="28" fillId="0" borderId="0" xfId="0" applyFont="1" applyAlignment="1" applyProtection="1">
      <alignment horizontal="right"/>
      <protection locked="0"/>
    </xf>
    <xf numFmtId="0" fontId="28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7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14" fontId="5" fillId="0" borderId="56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41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2" xfId="0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57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10" fillId="0" borderId="15" xfId="12" applyNumberFormat="1" applyFont="1" applyBorder="1" applyAlignment="1" applyProtection="1">
      <alignment horizontal="left" vertical="top" wrapText="1"/>
      <protection locked="0"/>
    </xf>
    <xf numFmtId="0" fontId="10" fillId="0" borderId="57" xfId="12" applyNumberFormat="1" applyFont="1" applyBorder="1" applyAlignment="1" applyProtection="1">
      <alignment horizontal="left" vertical="top" wrapText="1"/>
      <protection locked="0"/>
    </xf>
    <xf numFmtId="0" fontId="10" fillId="0" borderId="16" xfId="12" applyNumberFormat="1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57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57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57" xfId="0" applyBorder="1" applyAlignment="1">
      <alignment horizontal="left"/>
    </xf>
    <xf numFmtId="0" fontId="0" fillId="0" borderId="16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48" xfId="0" applyNumberFormat="1" applyBorder="1" applyAlignment="1">
      <alignment horizontal="center" vertical="center"/>
    </xf>
    <xf numFmtId="166" fontId="0" fillId="0" borderId="49" xfId="0" applyNumberFormat="1" applyBorder="1" applyAlignment="1">
      <alignment horizontal="center" vertical="center"/>
    </xf>
    <xf numFmtId="166" fontId="0" fillId="0" borderId="50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 textRotation="90"/>
    </xf>
    <xf numFmtId="0" fontId="0" fillId="0" borderId="58" xfId="0" applyBorder="1" applyAlignment="1">
      <alignment horizontal="center" vertical="center" textRotation="90"/>
    </xf>
    <xf numFmtId="0" fontId="0" fillId="0" borderId="59" xfId="0" applyBorder="1" applyAlignment="1">
      <alignment horizontal="center" vertical="center" textRotation="90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textRotation="90"/>
    </xf>
    <xf numFmtId="0" fontId="5" fillId="0" borderId="58" xfId="0" applyFont="1" applyBorder="1" applyAlignment="1">
      <alignment horizontal="center" vertical="center" textRotation="90"/>
    </xf>
    <xf numFmtId="0" fontId="5" fillId="0" borderId="59" xfId="0" applyFont="1" applyBorder="1" applyAlignment="1">
      <alignment horizontal="center" vertical="center" textRotation="90"/>
    </xf>
    <xf numFmtId="14" fontId="7" fillId="0" borderId="0" xfId="0" applyNumberFormat="1" applyFont="1" applyAlignment="1">
      <alignment horizontal="center"/>
    </xf>
    <xf numFmtId="0" fontId="22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48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2" xfId="0" applyFont="1" applyBorder="1" applyAlignment="1" applyProtection="1">
      <alignment horizontal="left"/>
      <protection locked="0"/>
    </xf>
    <xf numFmtId="0" fontId="14" fillId="0" borderId="0" xfId="0" applyFont="1" applyAlignment="1">
      <alignment horizontal="center" vertical="center"/>
    </xf>
  </cellXfs>
  <cellStyles count="13">
    <cellStyle name="Euro" xfId="1" xr:uid="{AD1C9548-C018-46C5-84C7-B9096EDF206A}"/>
    <cellStyle name="Euro 2" xfId="2" xr:uid="{C4162C18-0ADC-4FD6-BF32-B0D0578A742A}"/>
    <cellStyle name="Komma 2" xfId="3" xr:uid="{839ED193-B8B3-4F7A-BDD8-E94A7F801C8B}"/>
    <cellStyle name="Normal_Sheet1" xfId="4" xr:uid="{59FB9E73-E69D-4106-9D42-CFECECD8AF2E}"/>
    <cellStyle name="Standard" xfId="0" builtinId="0"/>
    <cellStyle name="Standard 2" xfId="5" xr:uid="{78758F77-4734-4077-85FC-DEF22EE5B83F}"/>
    <cellStyle name="Standard 2 3" xfId="6" xr:uid="{9DE2493F-0744-4161-B9C1-A136F94833E2}"/>
    <cellStyle name="Standard 5" xfId="7" xr:uid="{917F0CCC-813E-4F7E-B5B7-E394119EF828}"/>
    <cellStyle name="Standard 7" xfId="8" xr:uid="{0260EE8D-9007-4980-B6D2-D7AE47580853}"/>
    <cellStyle name="Standard 8" xfId="9" xr:uid="{1D3CEEEE-12C9-4CCB-A9DD-EAC09D831A2B}"/>
    <cellStyle name="Standard_BM Jugend Do 2008" xfId="10" xr:uid="{91106420-2DDB-4A6D-9F0F-D8DC0EF469CE}"/>
    <cellStyle name="Währung 2" xfId="11" xr:uid="{672433EB-0FFA-483C-9E1A-898DC76BDDC2}"/>
    <cellStyle name="Währung 2 2" xfId="12" xr:uid="{D4B823E9-486F-407D-84FB-BE00C7F0858C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95250</xdr:rowOff>
        </xdr:from>
        <xdr:to>
          <xdr:col>13</xdr:col>
          <xdr:colOff>123825</xdr:colOff>
          <xdr:row>8</xdr:row>
          <xdr:rowOff>9525</xdr:rowOff>
        </xdr:to>
        <xdr:sp macro="" textlink="">
          <xdr:nvSpPr>
            <xdr:cNvPr id="36910" name="Button 46" hidden="1">
              <a:extLst>
                <a:ext uri="{63B3BB69-23CF-44E3-9099-C40C66FF867C}">
                  <a14:compatExt spid="_x0000_s36910"/>
                </a:ext>
                <a:ext uri="{FF2B5EF4-FFF2-40B4-BE49-F238E27FC236}">
                  <a16:creationId xmlns:a16="http://schemas.microsoft.com/office/drawing/2014/main" id="{00000000-0008-0000-2D00-00002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114300</xdr:rowOff>
        </xdr:from>
        <xdr:to>
          <xdr:col>13</xdr:col>
          <xdr:colOff>133350</xdr:colOff>
          <xdr:row>10</xdr:row>
          <xdr:rowOff>28575</xdr:rowOff>
        </xdr:to>
        <xdr:sp macro="" textlink="">
          <xdr:nvSpPr>
            <xdr:cNvPr id="36911" name="Button 47" hidden="1">
              <a:extLst>
                <a:ext uri="{63B3BB69-23CF-44E3-9099-C40C66FF867C}">
                  <a14:compatExt spid="_x0000_s36911"/>
                </a:ext>
                <a:ext uri="{FF2B5EF4-FFF2-40B4-BE49-F238E27FC236}">
                  <a16:creationId xmlns:a16="http://schemas.microsoft.com/office/drawing/2014/main" id="{00000000-0008-0000-2D00-00002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0</xdr:rowOff>
        </xdr:from>
        <xdr:to>
          <xdr:col>13</xdr:col>
          <xdr:colOff>133350</xdr:colOff>
          <xdr:row>12</xdr:row>
          <xdr:rowOff>76200</xdr:rowOff>
        </xdr:to>
        <xdr:sp macro="" textlink="">
          <xdr:nvSpPr>
            <xdr:cNvPr id="36912" name="Button 48" hidden="1">
              <a:extLst>
                <a:ext uri="{63B3BB69-23CF-44E3-9099-C40C66FF867C}">
                  <a14:compatExt spid="_x0000_s36912"/>
                </a:ext>
                <a:ext uri="{FF2B5EF4-FFF2-40B4-BE49-F238E27FC236}">
                  <a16:creationId xmlns:a16="http://schemas.microsoft.com/office/drawing/2014/main" id="{00000000-0008-0000-2D00-00003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 refreshError="1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 refreshError="1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1.xml"/><Relationship Id="rId6" Type="http://schemas.openxmlformats.org/officeDocument/2006/relationships/comments" Target="../comments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E5987-DB90-4A58-A326-AA2ABFF1ADD8}">
  <sheetPr>
    <tabColor rgb="FFFFC000"/>
  </sheetPr>
  <dimension ref="A1:C2"/>
  <sheetViews>
    <sheetView showGridLines="0" zoomScaleNormal="100" zoomScaleSheetLayoutView="100" workbookViewId="0">
      <selection activeCell="A2" sqref="A2:IV2"/>
    </sheetView>
  </sheetViews>
  <sheetFormatPr baseColWidth="10" defaultRowHeight="14.25" x14ac:dyDescent="0.2"/>
  <cols>
    <col min="1" max="1" width="11.28515625" style="224" bestFit="1" customWidth="1"/>
    <col min="2" max="2" width="17.140625" style="225" customWidth="1"/>
    <col min="3" max="3" width="62.85546875" style="225" customWidth="1"/>
  </cols>
  <sheetData>
    <row r="1" spans="1:3" ht="15" x14ac:dyDescent="0.2">
      <c r="A1" s="222" t="s">
        <v>1825</v>
      </c>
      <c r="B1" s="223" t="s">
        <v>2092</v>
      </c>
      <c r="C1" s="223" t="str">
        <f>"Prüfung / Änderung "&amp;TEXT(MAX(A:A),"TT.MM.JJJJ")</f>
        <v>Prüfung / Änderung 25.07.2024</v>
      </c>
    </row>
    <row r="2" spans="1:3" hidden="1" x14ac:dyDescent="0.2">
      <c r="A2" s="224">
        <v>45498</v>
      </c>
      <c r="C2" s="225" t="s">
        <v>2414</v>
      </c>
    </row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5B91-B78C-4848-AB4B-0B5B736859F8}">
  <sheetPr>
    <tabColor theme="1"/>
    <pageSetUpPr autoPageBreaks="0"/>
  </sheetPr>
  <dimension ref="A1:V86"/>
  <sheetViews>
    <sheetView showGridLines="0" topLeftCell="A63" zoomScaleNormal="100" workbookViewId="0">
      <selection activeCell="D85" sqref="D85:M85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+Spielzettel2!M2</f>
        <v>2</v>
      </c>
      <c r="F6" s="336"/>
      <c r="P6" s="128" t="s">
        <v>1825</v>
      </c>
      <c r="Q6" s="337" t="str">
        <f>+Spielzettel2!L1</f>
        <v>03.11.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+Spielzettel2!D2</f>
        <v>Regensburg Super Bowl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+Spielzettel2!D1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>
        <v>0.33333333333333331</v>
      </c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 t="s">
        <v>2370</v>
      </c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 t="s">
        <v>2370</v>
      </c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 t="s">
        <v>2370</v>
      </c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2371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hidden="1" customHeight="1" x14ac:dyDescent="0.2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>
        <v>0.5</v>
      </c>
      <c r="I31" s="145"/>
      <c r="J31" s="147" t="s">
        <v>1841</v>
      </c>
      <c r="K31" s="147"/>
      <c r="L31" s="146">
        <v>0.51388888888888884</v>
      </c>
      <c r="M31" s="147" t="s">
        <v>1830</v>
      </c>
      <c r="N31" s="147"/>
      <c r="O31" s="147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 t="s">
        <v>2370</v>
      </c>
      <c r="H34" t="s">
        <v>1832</v>
      </c>
      <c r="J34" s="137"/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>
        <v>3</v>
      </c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 t="s">
        <v>2539</v>
      </c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 t="s">
        <v>2370</v>
      </c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 t="s">
        <v>2540</v>
      </c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20" t="s">
        <v>2541</v>
      </c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20" t="s">
        <v>2542</v>
      </c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0661A-0409-40D6-83C7-28748514064B}">
  <sheetPr>
    <tabColor indexed="10"/>
  </sheetPr>
  <dimension ref="A1:AC174"/>
  <sheetViews>
    <sheetView showGridLines="0" view="pageBreakPreview" zoomScaleNormal="100" zoomScaleSheetLayoutView="100" workbookViewId="0">
      <pane ySplit="2" topLeftCell="A3" activePane="bottomLeft" state="frozen"/>
      <selection activeCell="D85" sqref="D85:M85"/>
      <selection pane="bottomLeft" activeCell="D85" sqref="D85:M85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Schlüssel!$AG$1</f>
        <v>03.11.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Schlüssel!$W$2</f>
        <v>Regensburg Super Bowl</v>
      </c>
      <c r="F2" s="77"/>
      <c r="G2" s="77"/>
      <c r="H2" s="77"/>
      <c r="I2" s="77"/>
      <c r="K2" s="77"/>
      <c r="L2" s="29" t="s">
        <v>1784</v>
      </c>
      <c r="M2" s="34">
        <v>2</v>
      </c>
      <c r="N2" s="28"/>
      <c r="AC2" s="91">
        <v>7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VLOOKUP(B2,Schlüssel!$A$5:$DZ$10,33)</f>
        <v>11</v>
      </c>
      <c r="F4" s="47" t="s">
        <v>10</v>
      </c>
      <c r="G4" s="7">
        <f>VLOOKUP(B2,Schlüssel!$A$5:$DZ$10,34)</f>
        <v>9</v>
      </c>
      <c r="H4" s="47" t="s">
        <v>10</v>
      </c>
      <c r="I4" s="7">
        <f>VLOOKUP(B2,Schlüssel!$A$5:$DZ$10,35)</f>
        <v>7</v>
      </c>
      <c r="J4" s="47" t="s">
        <v>10</v>
      </c>
      <c r="K4" s="7">
        <f>VLOOKUP(B2,Schlüssel!$A$5:$DZ$10,36)</f>
        <v>12</v>
      </c>
      <c r="L4" s="47" t="s">
        <v>10</v>
      </c>
      <c r="M4" s="67">
        <f>VLOOKUP(B2,Schlüssel!$A$5:$DZ$10,37)</f>
        <v>10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VLOOKUP(B2,Schlüssel!$A$5:$DZ$10,23)</f>
        <v>6</v>
      </c>
      <c r="E22" s="350"/>
      <c r="F22" s="350">
        <f>VLOOKUP(B2,Schlüssel!$A$5:$DZ$10,24)</f>
        <v>2</v>
      </c>
      <c r="G22" s="350"/>
      <c r="H22" s="350">
        <f>VLOOKUP(B2,Schlüssel!$A$5:$DZ$10,25)</f>
        <v>4</v>
      </c>
      <c r="I22" s="350"/>
      <c r="J22" s="350">
        <f>VLOOKUP(B2,Schlüssel!$A$5:$DZ$10,26)</f>
        <v>5</v>
      </c>
      <c r="K22" s="350"/>
      <c r="L22" s="350">
        <f>VLOOKUP(B2,Schlüssel!$A$5:$DZ$10,27)</f>
        <v>3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Adler Nürnberg 1</v>
      </c>
      <c r="E23" s="348"/>
      <c r="F23" s="347" t="str">
        <f>VLOOKUP(F22,Schlüssel!$A$5:$K$10,2)</f>
        <v>Herzogenaurach 1</v>
      </c>
      <c r="G23" s="348"/>
      <c r="H23" s="347" t="str">
        <f>VLOOKUP(H22,Schlüssel!$A$5:$K$10,2)</f>
        <v>Kings Club Bayreuth Land 3</v>
      </c>
      <c r="I23" s="348"/>
      <c r="J23" s="347" t="str">
        <f>VLOOKUP(J22,Schlüssel!$A$5:$K$10,2)</f>
        <v>Castra Regina Regensburg 2</v>
      </c>
      <c r="K23" s="348"/>
      <c r="L23" s="347" t="str">
        <f>VLOOKUP(L22,Schlüssel!$A$5:$K$10,2)</f>
        <v>Kings Club Bayreuth Land 2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Schlüssel!$AG$1</f>
        <v>03.11.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Schlüssel!$W$2</f>
        <v>Regensburg Super Bowl</v>
      </c>
      <c r="F31" s="77"/>
      <c r="G31" s="77"/>
      <c r="H31" s="77"/>
      <c r="I31" s="77"/>
      <c r="K31" s="77"/>
      <c r="L31" s="29" t="s">
        <v>1784</v>
      </c>
      <c r="M31" s="34">
        <v>2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VLOOKUP(B31,Schlüssel!$A$5:$DZ$10,33)</f>
        <v>8</v>
      </c>
      <c r="F33" s="47" t="s">
        <v>10</v>
      </c>
      <c r="G33" s="7">
        <f>VLOOKUP(B31,Schlüssel!$A$5:$DZ$10,34)</f>
        <v>10</v>
      </c>
      <c r="H33" s="47" t="s">
        <v>10</v>
      </c>
      <c r="I33" s="7">
        <f>VLOOKUP(B31,Schlüssel!$A$5:$DZ$10,35)</f>
        <v>12</v>
      </c>
      <c r="J33" s="47" t="s">
        <v>10</v>
      </c>
      <c r="K33" s="7">
        <f>VLOOKUP(B31,Schlüssel!$A$5:$DZ$10,36)</f>
        <v>9</v>
      </c>
      <c r="L33" s="47" t="s">
        <v>10</v>
      </c>
      <c r="M33" s="67">
        <f>VLOOKUP(B31,Schlüssel!$A$5:$DZ$10,37)</f>
        <v>7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VLOOKUP(B31,Schlüssel!$A$5:$DZ$10,23)</f>
        <v>3</v>
      </c>
      <c r="E51" s="350"/>
      <c r="F51" s="350">
        <f>VLOOKUP(B31,Schlüssel!$A$5:$DZ$10,24)</f>
        <v>1</v>
      </c>
      <c r="G51" s="350"/>
      <c r="H51" s="350">
        <f>VLOOKUP(B31,Schlüssel!$A$5:$DZ$10,25)</f>
        <v>6</v>
      </c>
      <c r="I51" s="350"/>
      <c r="J51" s="350">
        <f>VLOOKUP(B31,Schlüssel!$A$5:$DZ$10,26)</f>
        <v>4</v>
      </c>
      <c r="K51" s="350"/>
      <c r="L51" s="350">
        <f>VLOOKUP(B31,Schlüssel!$A$5:$DZ$10,27)</f>
        <v>5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Kings Club Bayreuth Land 2</v>
      </c>
      <c r="E52" s="348"/>
      <c r="F52" s="347" t="str">
        <f>VLOOKUP(F51,Schlüssel!$A$5:$K$10,2)</f>
        <v>Castra Regina Regensburg 3</v>
      </c>
      <c r="G52" s="348"/>
      <c r="H52" s="347" t="str">
        <f>VLOOKUP(H51,Schlüssel!$A$5:$K$10,2)</f>
        <v>Adler Nürnberg 1</v>
      </c>
      <c r="I52" s="348"/>
      <c r="J52" s="347" t="str">
        <f>VLOOKUP(J51,Schlüssel!$A$5:$K$10,2)</f>
        <v>Kings Club Bayreuth Land 3</v>
      </c>
      <c r="K52" s="348"/>
      <c r="L52" s="347" t="str">
        <f>VLOOKUP(L51,Schlüssel!$A$5:$K$10,2)</f>
        <v>Castra Regina Regensburg 2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Schlüssel!$AG$1</f>
        <v>03.11.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Schlüssel!$W$2</f>
        <v>Regensburg Super Bowl</v>
      </c>
      <c r="F60" s="77"/>
      <c r="G60" s="77"/>
      <c r="H60" s="77"/>
      <c r="I60" s="77"/>
      <c r="K60" s="77"/>
      <c r="L60" s="29" t="s">
        <v>1784</v>
      </c>
      <c r="M60" s="34">
        <v>2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VLOOKUP(B60,Schlüssel!$A$5:$DZ$10,33)</f>
        <v>7</v>
      </c>
      <c r="F62" s="47" t="s">
        <v>10</v>
      </c>
      <c r="G62" s="7">
        <f>VLOOKUP(B60,Schlüssel!$A$5:$DZ$10,34)</f>
        <v>11</v>
      </c>
      <c r="H62" s="47" t="s">
        <v>10</v>
      </c>
      <c r="I62" s="7">
        <f>VLOOKUP(B60,Schlüssel!$A$5:$DZ$10,35)</f>
        <v>10</v>
      </c>
      <c r="J62" s="47" t="s">
        <v>10</v>
      </c>
      <c r="K62" s="7">
        <f>VLOOKUP(B60,Schlüssel!$A$5:$DZ$10,36)</f>
        <v>8</v>
      </c>
      <c r="L62" s="47" t="s">
        <v>10</v>
      </c>
      <c r="M62" s="67">
        <f>VLOOKUP(B60,Schlüssel!$A$5:$DZ$10,37)</f>
        <v>9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VLOOKUP(B60,Schlüssel!$A$5:$DZ$10,23)</f>
        <v>2</v>
      </c>
      <c r="E80" s="350"/>
      <c r="F80" s="350">
        <f>VLOOKUP(B60,Schlüssel!$A$5:$DZ$10,24)</f>
        <v>4</v>
      </c>
      <c r="G80" s="350"/>
      <c r="H80" s="350">
        <f>VLOOKUP(B60,Schlüssel!$A$5:$DZ$10,25)</f>
        <v>5</v>
      </c>
      <c r="I80" s="350"/>
      <c r="J80" s="350">
        <f>VLOOKUP(B60,Schlüssel!$A$5:$DZ$10,26)</f>
        <v>6</v>
      </c>
      <c r="K80" s="350"/>
      <c r="L80" s="350">
        <f>VLOOKUP(B60,Schlüssel!$A$5:$DZ$10,27)</f>
        <v>1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Herzogenaurach 1</v>
      </c>
      <c r="E81" s="348"/>
      <c r="F81" s="347" t="str">
        <f>VLOOKUP(F80,Schlüssel!$A$5:$K$10,2)</f>
        <v>Kings Club Bayreuth Land 3</v>
      </c>
      <c r="G81" s="348"/>
      <c r="H81" s="347" t="str">
        <f>VLOOKUP(H80,Schlüssel!$A$5:$K$10,2)</f>
        <v>Castra Regina Regensburg 2</v>
      </c>
      <c r="I81" s="348"/>
      <c r="J81" s="347" t="str">
        <f>VLOOKUP(J80,Schlüssel!$A$5:$K$10,2)</f>
        <v>Adler Nürnberg 1</v>
      </c>
      <c r="K81" s="348"/>
      <c r="L81" s="347" t="str">
        <f>VLOOKUP(L80,Schlüssel!$A$5:$K$10,2)</f>
        <v>Castra Regina Regensburg 3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Schlüssel!$AG$1</f>
        <v>03.11.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Schlüssel!$W$2</f>
        <v>Regensburg Super Bowl</v>
      </c>
      <c r="F89" s="77"/>
      <c r="G89" s="77"/>
      <c r="H89" s="77"/>
      <c r="I89" s="77"/>
      <c r="K89" s="77"/>
      <c r="L89" s="29" t="s">
        <v>1784</v>
      </c>
      <c r="M89" s="34">
        <v>2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VLOOKUP(B89,Schlüssel!$A$5:$DZ$10,33)</f>
        <v>9</v>
      </c>
      <c r="F91" s="47" t="s">
        <v>10</v>
      </c>
      <c r="G91" s="7">
        <f>VLOOKUP(B89,Schlüssel!$A$5:$DZ$10,34)</f>
        <v>12</v>
      </c>
      <c r="H91" s="47" t="s">
        <v>10</v>
      </c>
      <c r="I91" s="7">
        <f>VLOOKUP(B89,Schlüssel!$A$5:$DZ$10,35)</f>
        <v>8</v>
      </c>
      <c r="J91" s="47" t="s">
        <v>10</v>
      </c>
      <c r="K91" s="7">
        <f>VLOOKUP(B89,Schlüssel!$A$5:$DZ$10,36)</f>
        <v>10</v>
      </c>
      <c r="L91" s="47" t="s">
        <v>10</v>
      </c>
      <c r="M91" s="67">
        <f>VLOOKUP(B89,Schlüssel!$A$5:$DZ$10,37)</f>
        <v>11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VLOOKUP(B89,Schlüssel!$A$5:$DZ$10,23)</f>
        <v>5</v>
      </c>
      <c r="E109" s="350"/>
      <c r="F109" s="350">
        <f>VLOOKUP(B89,Schlüssel!$A$5:$DZ$10,24)</f>
        <v>3</v>
      </c>
      <c r="G109" s="350"/>
      <c r="H109" s="350">
        <f>VLOOKUP(B89,Schlüssel!$A$5:$DZ$10,25)</f>
        <v>1</v>
      </c>
      <c r="I109" s="350"/>
      <c r="J109" s="350">
        <f>VLOOKUP(B89,Schlüssel!$A$5:$DZ$10,26)</f>
        <v>2</v>
      </c>
      <c r="K109" s="350"/>
      <c r="L109" s="350">
        <f>VLOOKUP(B89,Schlüssel!$A$5:$DZ$10,27)</f>
        <v>6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Castra Regina Regensburg 2</v>
      </c>
      <c r="E110" s="348"/>
      <c r="F110" s="347" t="str">
        <f>VLOOKUP(F109,Schlüssel!$A$5:$K$10,2)</f>
        <v>Kings Club Bayreuth Land 2</v>
      </c>
      <c r="G110" s="348"/>
      <c r="H110" s="347" t="str">
        <f>VLOOKUP(H109,Schlüssel!$A$5:$K$10,2)</f>
        <v>Castra Regina Regensburg 3</v>
      </c>
      <c r="I110" s="348"/>
      <c r="J110" s="347" t="str">
        <f>VLOOKUP(J109,Schlüssel!$A$5:$K$10,2)</f>
        <v>Herzogenaurach 1</v>
      </c>
      <c r="K110" s="348"/>
      <c r="L110" s="347" t="str">
        <f>VLOOKUP(L109,Schlüssel!$A$5:$K$10,2)</f>
        <v>Adler Nürnberg 1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Schlüssel!$AG$1</f>
        <v>03.11.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Schlüssel!$W$2</f>
        <v>Regensburg Super Bowl</v>
      </c>
      <c r="F118" s="77"/>
      <c r="G118" s="77"/>
      <c r="H118" s="77"/>
      <c r="I118" s="77"/>
      <c r="K118" s="77"/>
      <c r="L118" s="29" t="s">
        <v>1784</v>
      </c>
      <c r="M118" s="34">
        <v>2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VLOOKUP(B118,Schlüssel!$A$5:$DZ$10,33)</f>
        <v>10</v>
      </c>
      <c r="F120" s="47" t="s">
        <v>10</v>
      </c>
      <c r="G120" s="7">
        <f>VLOOKUP(B118,Schlüssel!$A$5:$DZ$10,34)</f>
        <v>7</v>
      </c>
      <c r="H120" s="47" t="s">
        <v>10</v>
      </c>
      <c r="I120" s="7">
        <f>VLOOKUP(B118,Schlüssel!$A$5:$DZ$10,35)</f>
        <v>9</v>
      </c>
      <c r="J120" s="47" t="s">
        <v>10</v>
      </c>
      <c r="K120" s="7">
        <f>VLOOKUP(B118,Schlüssel!$A$5:$DZ$10,36)</f>
        <v>11</v>
      </c>
      <c r="L120" s="47" t="s">
        <v>10</v>
      </c>
      <c r="M120" s="67">
        <f>VLOOKUP(B118,Schlüssel!$A$5:$DZ$10,37)</f>
        <v>8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VLOOKUP(B118,Schlüssel!$A$5:$DZ$10,23)</f>
        <v>4</v>
      </c>
      <c r="E138" s="350"/>
      <c r="F138" s="350">
        <f>VLOOKUP(B118,Schlüssel!$A$5:$DZ$10,24)</f>
        <v>6</v>
      </c>
      <c r="G138" s="350"/>
      <c r="H138" s="350">
        <f>VLOOKUP(B118,Schlüssel!$A$5:$DZ$10,25)</f>
        <v>3</v>
      </c>
      <c r="I138" s="350"/>
      <c r="J138" s="350">
        <f>VLOOKUP(B118,Schlüssel!$A$5:$DZ$10,26)</f>
        <v>1</v>
      </c>
      <c r="K138" s="350"/>
      <c r="L138" s="350">
        <f>VLOOKUP(B118,Schlüssel!$A$5:$DZ$10,27)</f>
        <v>2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Kings Club Bayreuth Land 3</v>
      </c>
      <c r="E139" s="348"/>
      <c r="F139" s="347" t="str">
        <f>VLOOKUP(F138,Schlüssel!$A$5:$K$10,2)</f>
        <v>Adler Nürnberg 1</v>
      </c>
      <c r="G139" s="348"/>
      <c r="H139" s="347" t="str">
        <f>VLOOKUP(H138,Schlüssel!$A$5:$K$10,2)</f>
        <v>Kings Club Bayreuth Land 2</v>
      </c>
      <c r="I139" s="348"/>
      <c r="J139" s="347" t="str">
        <f>VLOOKUP(J138,Schlüssel!$A$5:$K$10,2)</f>
        <v>Castra Regina Regensburg 3</v>
      </c>
      <c r="K139" s="348"/>
      <c r="L139" s="347" t="str">
        <f>VLOOKUP(L138,Schlüssel!$A$5:$K$10,2)</f>
        <v>Herzogenaurach 1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Schlüssel!$AG$1</f>
        <v>03.11.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Schlüssel!$W$2</f>
        <v>Regensburg Super Bowl</v>
      </c>
      <c r="F147" s="77"/>
      <c r="G147" s="77"/>
      <c r="H147" s="77"/>
      <c r="I147" s="77"/>
      <c r="K147" s="77"/>
      <c r="L147" s="29" t="s">
        <v>1784</v>
      </c>
      <c r="M147" s="34">
        <v>2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VLOOKUP(B147,Schlüssel!$A$5:$DZ$10,33)</f>
        <v>12</v>
      </c>
      <c r="F149" s="47" t="s">
        <v>10</v>
      </c>
      <c r="G149" s="7">
        <f>VLOOKUP(B147,Schlüssel!$A$5:$DZ$10,34)</f>
        <v>8</v>
      </c>
      <c r="H149" s="47" t="s">
        <v>10</v>
      </c>
      <c r="I149" s="7">
        <f>VLOOKUP(B147,Schlüssel!$A$5:$DZ$10,35)</f>
        <v>11</v>
      </c>
      <c r="J149" s="47" t="s">
        <v>10</v>
      </c>
      <c r="K149" s="7">
        <f>VLOOKUP(B147,Schlüssel!$A$5:$DZ$10,36)</f>
        <v>7</v>
      </c>
      <c r="L149" s="47" t="s">
        <v>10</v>
      </c>
      <c r="M149" s="67">
        <f>VLOOKUP(B147,Schlüssel!$A$5:$DZ$10,37)</f>
        <v>12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VLOOKUP(B147,Schlüssel!$A$5:$DZ$10,23)</f>
        <v>1</v>
      </c>
      <c r="E167" s="350"/>
      <c r="F167" s="350">
        <f>VLOOKUP(B147,Schlüssel!$A$5:$DZ$10,24)</f>
        <v>5</v>
      </c>
      <c r="G167" s="350"/>
      <c r="H167" s="350">
        <f>VLOOKUP(B147,Schlüssel!$A$5:$DZ$10,25)</f>
        <v>2</v>
      </c>
      <c r="I167" s="350"/>
      <c r="J167" s="350">
        <f>VLOOKUP(B147,Schlüssel!$A$5:$DZ$10,26)</f>
        <v>3</v>
      </c>
      <c r="K167" s="350"/>
      <c r="L167" s="350">
        <f>VLOOKUP(B147,Schlüssel!$A$5:$DZ$10,27)</f>
        <v>4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Castra Regina Regensburg 3</v>
      </c>
      <c r="E168" s="348"/>
      <c r="F168" s="347" t="str">
        <f>VLOOKUP(F167,Schlüssel!$A$5:$K$10,2)</f>
        <v>Castra Regina Regensburg 2</v>
      </c>
      <c r="G168" s="348"/>
      <c r="H168" s="347" t="str">
        <f>VLOOKUP(H167,Schlüssel!$A$5:$K$10,2)</f>
        <v>Herzogenaurach 1</v>
      </c>
      <c r="I168" s="348"/>
      <c r="J168" s="347" t="str">
        <f>VLOOKUP(J167,Schlüssel!$A$5:$K$10,2)</f>
        <v>Kings Club Bayreuth Land 2</v>
      </c>
      <c r="K168" s="348"/>
      <c r="L168" s="347" t="str">
        <f>VLOOKUP(L167,Schlüssel!$A$5:$K$10,2)</f>
        <v>Kings Club Bayreuth Land 3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D19C" sheet="1" formatCells="0" formatColumns="0" formatRows="0"/>
  <mergeCells count="498">
    <mergeCell ref="J29:K29"/>
    <mergeCell ref="L29:M29"/>
    <mergeCell ref="D27:E27"/>
    <mergeCell ref="F27:G27"/>
    <mergeCell ref="H27:I27"/>
    <mergeCell ref="J27:K27"/>
    <mergeCell ref="L27:M27"/>
    <mergeCell ref="N29:O29"/>
    <mergeCell ref="N28:O28"/>
    <mergeCell ref="D28:E28"/>
    <mergeCell ref="F28:G28"/>
    <mergeCell ref="H28:I28"/>
    <mergeCell ref="J28:K28"/>
    <mergeCell ref="L28:M28"/>
    <mergeCell ref="D29:E29"/>
    <mergeCell ref="F29:G29"/>
    <mergeCell ref="H29:I29"/>
    <mergeCell ref="D25:E25"/>
    <mergeCell ref="F25:G25"/>
    <mergeCell ref="H25:I25"/>
    <mergeCell ref="J25:K25"/>
    <mergeCell ref="L25:M25"/>
    <mergeCell ref="N25:O25"/>
    <mergeCell ref="N27:O27"/>
    <mergeCell ref="D26:E26"/>
    <mergeCell ref="F26:G26"/>
    <mergeCell ref="H26:I26"/>
    <mergeCell ref="J26:K26"/>
    <mergeCell ref="L26:M26"/>
    <mergeCell ref="N26:O26"/>
    <mergeCell ref="D23:E23"/>
    <mergeCell ref="F23:G23"/>
    <mergeCell ref="H23:I23"/>
    <mergeCell ref="J23:K23"/>
    <mergeCell ref="L23:M23"/>
    <mergeCell ref="N23:O23"/>
    <mergeCell ref="D24:E24"/>
    <mergeCell ref="F24:G24"/>
    <mergeCell ref="H24:I24"/>
    <mergeCell ref="J24:K24"/>
    <mergeCell ref="L24:M24"/>
    <mergeCell ref="N24:O24"/>
    <mergeCell ref="A16:A18"/>
    <mergeCell ref="E16:E18"/>
    <mergeCell ref="G16:G18"/>
    <mergeCell ref="I16:I18"/>
    <mergeCell ref="K16:K18"/>
    <mergeCell ref="M16:M18"/>
    <mergeCell ref="O16:O18"/>
    <mergeCell ref="A13:A15"/>
    <mergeCell ref="E13:E15"/>
    <mergeCell ref="A7:A9"/>
    <mergeCell ref="E7:E9"/>
    <mergeCell ref="G7:G9"/>
    <mergeCell ref="I7:I9"/>
    <mergeCell ref="K7:K9"/>
    <mergeCell ref="M7:M9"/>
    <mergeCell ref="G13:G15"/>
    <mergeCell ref="I13:I15"/>
    <mergeCell ref="K13:K15"/>
    <mergeCell ref="M13:M15"/>
    <mergeCell ref="A10:A12"/>
    <mergeCell ref="E10:E12"/>
    <mergeCell ref="G10:G12"/>
    <mergeCell ref="I10:I12"/>
    <mergeCell ref="K10:K12"/>
    <mergeCell ref="L30:N30"/>
    <mergeCell ref="D34:E34"/>
    <mergeCell ref="F34:G34"/>
    <mergeCell ref="H34:I34"/>
    <mergeCell ref="J34:K34"/>
    <mergeCell ref="L34:M34"/>
    <mergeCell ref="N34:O34"/>
    <mergeCell ref="L1:N1"/>
    <mergeCell ref="D5:E5"/>
    <mergeCell ref="F5:G5"/>
    <mergeCell ref="H5:I5"/>
    <mergeCell ref="J5:K5"/>
    <mergeCell ref="L5:M5"/>
    <mergeCell ref="N5:O5"/>
    <mergeCell ref="M10:M12"/>
    <mergeCell ref="O10:O12"/>
    <mergeCell ref="O7:O9"/>
    <mergeCell ref="O13:O15"/>
    <mergeCell ref="D22:E22"/>
    <mergeCell ref="F22:G22"/>
    <mergeCell ref="H22:I22"/>
    <mergeCell ref="J22:K22"/>
    <mergeCell ref="L22:M22"/>
    <mergeCell ref="N22:O22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rintOptions horizontalCentered="1" verticalCentered="1"/>
  <pageMargins left="0" right="0" top="0" bottom="0" header="0" footer="0"/>
  <pageSetup paperSize="9" orientation="landscape" r:id="rId1"/>
  <headerFooter alignWithMargins="0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1C739-6CCF-436B-9F2D-EC5E620438E8}">
  <sheetPr>
    <tabColor rgb="FF92D050"/>
  </sheetPr>
  <dimension ref="A1:CE180"/>
  <sheetViews>
    <sheetView view="pageBreakPreview" topLeftCell="R151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 t="str">
        <f>AD1</f>
        <v>03.11.</v>
      </c>
      <c r="N1" s="376"/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Schlüssel!$AG$1</f>
        <v>03.11.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Regensburg Super Bowl</v>
      </c>
      <c r="F2" s="77"/>
      <c r="G2" s="77"/>
      <c r="H2" s="77"/>
      <c r="I2" s="77"/>
      <c r="J2" s="77"/>
      <c r="K2" s="77"/>
      <c r="L2" s="29" t="str">
        <f>AC2</f>
        <v>Spieltag:</v>
      </c>
      <c r="M2" s="86">
        <f>AD2</f>
        <v>2</v>
      </c>
      <c r="N2" s="28"/>
      <c r="R2" s="49"/>
      <c r="S2" s="50">
        <v>1</v>
      </c>
      <c r="U2" s="30" t="s">
        <v>1786</v>
      </c>
      <c r="V2" s="84" t="str">
        <f>Schlüssel!$W$2</f>
        <v>Regensburg Super Bowl</v>
      </c>
      <c r="X2" s="77"/>
      <c r="Y2" s="77"/>
      <c r="Z2" s="77"/>
      <c r="AA2" s="77"/>
      <c r="AB2" s="77"/>
      <c r="AC2" s="29" t="s">
        <v>1784</v>
      </c>
      <c r="AD2" s="34">
        <v>2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VLOOKUP(S2,Schlüssel!$A$5:$DZ$10,33)</f>
        <v>11</v>
      </c>
      <c r="W4" s="193" t="s">
        <v>10</v>
      </c>
      <c r="X4" s="191">
        <f>VLOOKUP(S2,Schlüssel!$A$5:$DZ$10,34)</f>
        <v>9</v>
      </c>
      <c r="Y4" s="193" t="s">
        <v>10</v>
      </c>
      <c r="Z4" s="191">
        <f>VLOOKUP(S2,Schlüssel!$A$5:$DZ$10,35)</f>
        <v>7</v>
      </c>
      <c r="AA4" s="193" t="s">
        <v>10</v>
      </c>
      <c r="AB4" s="191">
        <f>VLOOKUP(S2,Schlüssel!$A$5:$DZ$10,36)</f>
        <v>12</v>
      </c>
      <c r="AC4" s="193" t="s">
        <v>10</v>
      </c>
      <c r="AD4" s="192">
        <f>VLOOKUP(S2,Schlüssel!$A$5:$DZ$10,37)</f>
        <v>10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>Jahre, Steffen</v>
      </c>
      <c r="C7" s="18">
        <f>IF(T7=0,"",T7)</f>
        <v>7816</v>
      </c>
      <c r="D7" s="14">
        <f>IF(U7=0,"",U7)</f>
        <v>158</v>
      </c>
      <c r="E7" s="352">
        <f>IF(V7="","",V7)</f>
        <v>0</v>
      </c>
      <c r="F7" s="14">
        <f t="shared" ref="F7:F20" si="0">IF(W7=0,"",W7)</f>
        <v>192</v>
      </c>
      <c r="G7" s="352">
        <f>IF(X7="","",X7)</f>
        <v>1</v>
      </c>
      <c r="H7" s="14">
        <f t="shared" ref="H7:H20" si="1">IF(Y7=0,"",Y7)</f>
        <v>179</v>
      </c>
      <c r="I7" s="352">
        <f>IF(Z7="","",Z7)</f>
        <v>1</v>
      </c>
      <c r="J7" s="14">
        <f t="shared" ref="J7:J20" si="2">IF(AA7=0,"",AA7)</f>
        <v>176</v>
      </c>
      <c r="K7" s="352">
        <f>IF(AB7="","",AB7)</f>
        <v>1</v>
      </c>
      <c r="L7" s="14">
        <f t="shared" ref="L7:L20" si="3">IF(AC7=0,"",AC7)</f>
        <v>214</v>
      </c>
      <c r="M7" s="352">
        <f>IF(AD7="","",AD7)</f>
        <v>1</v>
      </c>
      <c r="N7" s="14">
        <f t="shared" ref="N7:N20" si="4">IF(AE7=0,"",AE7)</f>
        <v>919</v>
      </c>
      <c r="O7" s="352">
        <f>IF(AF7="","",AF7)</f>
        <v>4</v>
      </c>
      <c r="R7" s="355" t="s">
        <v>0</v>
      </c>
      <c r="S7" s="68" t="str">
        <f>IF(T7=0,"",VLOOKUP(T7,Starter!$A$1:$D$196,2,FALSE))</f>
        <v>Jahre, Steffen</v>
      </c>
      <c r="T7" s="175">
        <v>7816</v>
      </c>
      <c r="U7" s="183">
        <v>158</v>
      </c>
      <c r="V7" s="95">
        <f>IF(SUM(U7:U9)+U25=0,0,IF(ABS(SUM(U7:U9))=U25,0.5,IF(ABS(SUM(U7:U9))&gt;U25,1,0)))</f>
        <v>0</v>
      </c>
      <c r="W7" s="183">
        <v>192</v>
      </c>
      <c r="X7" s="95">
        <f>IF(SUM(W7:W9)+W25=0,0,IF(ABS(SUM(W7:W9))=W25,0.5,IF(ABS(SUM(W7:W9))&gt;W25,1,0)))</f>
        <v>1</v>
      </c>
      <c r="Y7" s="183">
        <v>179</v>
      </c>
      <c r="Z7" s="95">
        <f>IF(SUM(Y7:Y9)+Y25=0,0,IF(ABS(SUM(Y7:Y9))=Y25,0.5,IF(ABS(SUM(Y7:Y9))&gt;Y25,1,0)))</f>
        <v>1</v>
      </c>
      <c r="AA7" s="189">
        <v>176</v>
      </c>
      <c r="AB7" s="95">
        <f>IF(SUM(AA7:AA9)+AA25=0,0,IF(ABS(SUM(AA7:AA9))=AA25,0.5,IF(ABS(SUM(AA7:AA9))&gt;AA25,1,0)))</f>
        <v>1</v>
      </c>
      <c r="AC7" s="183">
        <v>214</v>
      </c>
      <c r="AD7" s="95">
        <f>IF(SUM(AC7:AC9)+AC25=0,0,IF(ABS(SUM(AC7:AC9))=AC25,0.5,IF(ABS(SUM(AC7:AC9))&gt;AC25,1,0)))</f>
        <v>1</v>
      </c>
      <c r="AE7" s="195">
        <f t="shared" ref="AE7:AE18" si="5">ABS(SUM(U7:U7))+ABS(SUM(W7:W7))+ABS(SUM(Y7:Y7))+ABS(SUM(AA7:AA7))+ABS(SUM(AC7:AC7))</f>
        <v>919</v>
      </c>
      <c r="AF7" s="180">
        <f>SUM(V7+X7+Z7+AB7+AD7)</f>
        <v>4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 t="shared" ref="BD7:BD18" si="6">T7</f>
        <v>7816</v>
      </c>
      <c r="BE7" s="213">
        <f t="shared" ref="BE7:BE18" si="7">AE7</f>
        <v>919</v>
      </c>
      <c r="BF7" s="215">
        <f t="shared" ref="BF7:BF18" si="8">COUNT(BH7:BL7)</f>
        <v>5</v>
      </c>
      <c r="BG7" s="215">
        <f t="shared" ref="BG7:BG18" si="9">COUNTIF(BH7:BL7,"&gt;0")</f>
        <v>5</v>
      </c>
      <c r="BH7" s="215">
        <f t="shared" ref="BH7:BH18" si="10">IF(U7=0,"",U7)</f>
        <v>158</v>
      </c>
      <c r="BI7" s="215">
        <f t="shared" ref="BI7:BI18" si="11">IF(W7=0,"",W7)</f>
        <v>192</v>
      </c>
      <c r="BJ7" s="215">
        <f t="shared" ref="BJ7:BJ18" si="12">IF(Y7=0,"",Y7)</f>
        <v>179</v>
      </c>
      <c r="BK7" s="215">
        <f t="shared" ref="BK7:BK18" si="13">IF(AA7=0,"",AA7)</f>
        <v>176</v>
      </c>
      <c r="BL7" s="215">
        <f t="shared" ref="BL7:BL18" si="14">IF(AC7=0,"",AC7)</f>
        <v>214</v>
      </c>
      <c r="BM7" s="216"/>
      <c r="BN7" s="214"/>
      <c r="BO7" s="215">
        <f t="shared" ref="BO7:BO18" si="15">MAX(BH7:BL7)</f>
        <v>214</v>
      </c>
      <c r="BP7" s="215">
        <f t="shared" ref="BP7:BP18" si="16">IF(BO7&lt;MAX(BO:BO),0,BO7+ROW()/1000000000)</f>
        <v>0</v>
      </c>
      <c r="BQ7" s="215" t="str">
        <f>+S3</f>
        <v>Castra Regina Regensburg 3</v>
      </c>
      <c r="BR7" s="214">
        <f t="shared" ref="BR7:BR18" si="17">RANK(BP7,BP:BP)</f>
        <v>2</v>
      </c>
      <c r="BS7" s="215">
        <f t="shared" ref="BS7:BS18" si="18">SUMIF(BH7:BL7,"&gt;0")</f>
        <v>919</v>
      </c>
      <c r="BT7" s="215">
        <f>IF(COUNTIF(BH7:BL7,"&gt;0")&lt;Spielorte!$A$23,0,BE7/Spielorte!$A$23)</f>
        <v>183.8</v>
      </c>
      <c r="BU7" s="215">
        <f t="shared" ref="BU7:BU18" si="19">IF(BT7&lt;MAX(BT:BT),0,BT7+ROW()/1000000000)</f>
        <v>0</v>
      </c>
      <c r="BV7" s="214">
        <f t="shared" ref="BV7:BV18" si="20">IF(BU7=0,0,RANK(BU7,BU:BU))</f>
        <v>0</v>
      </c>
    </row>
    <row r="8" spans="1:74" ht="17.100000000000001" customHeight="1" x14ac:dyDescent="0.2">
      <c r="A8" s="374"/>
      <c r="B8" s="19" t="str">
        <f t="shared" ref="B8:D20" si="21">IF(S8=0,"",S8)</f>
        <v/>
      </c>
      <c r="C8" s="20" t="str">
        <f t="shared" si="21"/>
        <v/>
      </c>
      <c r="D8" s="15" t="str">
        <f t="shared" si="21"/>
        <v/>
      </c>
      <c r="E8" s="353"/>
      <c r="F8" s="15" t="str">
        <f t="shared" si="0"/>
        <v/>
      </c>
      <c r="G8" s="353"/>
      <c r="H8" s="15" t="str">
        <f t="shared" si="1"/>
        <v/>
      </c>
      <c r="I8" s="353"/>
      <c r="J8" s="15" t="str">
        <f t="shared" si="2"/>
        <v/>
      </c>
      <c r="K8" s="353"/>
      <c r="L8" s="15" t="str">
        <f t="shared" si="3"/>
        <v/>
      </c>
      <c r="M8" s="353"/>
      <c r="N8" s="15" t="str">
        <f t="shared" si="4"/>
        <v/>
      </c>
      <c r="O8" s="353"/>
      <c r="R8" s="356"/>
      <c r="S8" s="68" t="str">
        <f>IF(T8=0,"",VLOOKUP(T8,Starter!$A$1:$D$196,2,FALSE))</f>
        <v/>
      </c>
      <c r="T8" s="176"/>
      <c r="U8" s="184"/>
      <c r="V8" s="96"/>
      <c r="W8" s="184"/>
      <c r="X8" s="96"/>
      <c r="Y8" s="184"/>
      <c r="Z8" s="96"/>
      <c r="AA8" s="184"/>
      <c r="AB8" s="96"/>
      <c r="AC8" s="184"/>
      <c r="AD8" s="96"/>
      <c r="AE8" s="196">
        <f t="shared" si="5"/>
        <v>0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si="6"/>
        <v>0</v>
      </c>
      <c r="BE8" s="213">
        <f t="shared" si="7"/>
        <v>0</v>
      </c>
      <c r="BF8" s="215">
        <f t="shared" si="8"/>
        <v>0</v>
      </c>
      <c r="BG8" s="215">
        <f t="shared" si="9"/>
        <v>0</v>
      </c>
      <c r="BH8" s="215" t="str">
        <f t="shared" si="10"/>
        <v/>
      </c>
      <c r="BI8" s="215" t="str">
        <f t="shared" si="11"/>
        <v/>
      </c>
      <c r="BJ8" s="215" t="str">
        <f t="shared" si="12"/>
        <v/>
      </c>
      <c r="BK8" s="215" t="str">
        <f t="shared" si="13"/>
        <v/>
      </c>
      <c r="BL8" s="215" t="str">
        <f t="shared" si="14"/>
        <v/>
      </c>
      <c r="BM8" s="216"/>
      <c r="BN8" s="214"/>
      <c r="BO8" s="215">
        <f t="shared" si="15"/>
        <v>0</v>
      </c>
      <c r="BP8" s="215">
        <f t="shared" si="16"/>
        <v>0</v>
      </c>
      <c r="BQ8" s="215" t="str">
        <f t="shared" ref="BQ8:BQ18" si="22">+BQ7</f>
        <v>Castra Regina Regensburg 3</v>
      </c>
      <c r="BR8" s="214">
        <f t="shared" si="17"/>
        <v>2</v>
      </c>
      <c r="BS8" s="215">
        <f t="shared" si="18"/>
        <v>0</v>
      </c>
      <c r="BT8" s="215">
        <f>IF(COUNTIF(BH8:BL8,"&gt;0")&lt;Spielorte!$A$23,0,BE8/Spielorte!$A$23)</f>
        <v>0</v>
      </c>
      <c r="BU8" s="215">
        <f t="shared" si="19"/>
        <v>0</v>
      </c>
      <c r="BV8" s="214">
        <f t="shared" si="20"/>
        <v>0</v>
      </c>
    </row>
    <row r="9" spans="1:74" ht="17.100000000000001" customHeight="1" thickBot="1" x14ac:dyDescent="0.25">
      <c r="A9" s="375"/>
      <c r="B9" s="21" t="str">
        <f t="shared" si="21"/>
        <v/>
      </c>
      <c r="C9" s="22" t="str">
        <f t="shared" si="21"/>
        <v/>
      </c>
      <c r="D9" s="9" t="str">
        <f t="shared" si="21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6"/>
        <v>0</v>
      </c>
      <c r="BE9" s="213">
        <f t="shared" si="7"/>
        <v>0</v>
      </c>
      <c r="BF9" s="215">
        <f t="shared" si="8"/>
        <v>0</v>
      </c>
      <c r="BG9" s="215">
        <f t="shared" si="9"/>
        <v>0</v>
      </c>
      <c r="BH9" s="215" t="str">
        <f t="shared" si="10"/>
        <v/>
      </c>
      <c r="BI9" s="215" t="str">
        <f t="shared" si="11"/>
        <v/>
      </c>
      <c r="BJ9" s="215" t="str">
        <f t="shared" si="12"/>
        <v/>
      </c>
      <c r="BK9" s="215" t="str">
        <f t="shared" si="13"/>
        <v/>
      </c>
      <c r="BL9" s="215" t="str">
        <f t="shared" si="14"/>
        <v/>
      </c>
      <c r="BM9" s="216"/>
      <c r="BN9" s="214"/>
      <c r="BO9" s="215">
        <f t="shared" si="15"/>
        <v>0</v>
      </c>
      <c r="BP9" s="215">
        <f t="shared" si="16"/>
        <v>0</v>
      </c>
      <c r="BQ9" s="215" t="str">
        <f t="shared" si="22"/>
        <v>Castra Regina Regensburg 3</v>
      </c>
      <c r="BR9" s="214">
        <f t="shared" si="17"/>
        <v>2</v>
      </c>
      <c r="BS9" s="215">
        <f t="shared" si="18"/>
        <v>0</v>
      </c>
      <c r="BT9" s="215">
        <f>IF(COUNTIF(BH9:BL9,"&gt;0")&lt;Spielorte!$A$23,0,BE9/Spielorte!$A$23)</f>
        <v>0</v>
      </c>
      <c r="BU9" s="215">
        <f t="shared" si="19"/>
        <v>0</v>
      </c>
      <c r="BV9" s="214">
        <f t="shared" si="20"/>
        <v>0</v>
      </c>
    </row>
    <row r="10" spans="1:74" ht="17.100000000000001" customHeight="1" x14ac:dyDescent="0.2">
      <c r="A10" s="373" t="s">
        <v>2</v>
      </c>
      <c r="B10" s="17" t="str">
        <f t="shared" si="21"/>
        <v>Bothe, Willi</v>
      </c>
      <c r="C10" s="18">
        <f t="shared" si="21"/>
        <v>38570</v>
      </c>
      <c r="D10" s="14">
        <f t="shared" si="21"/>
        <v>137</v>
      </c>
      <c r="E10" s="352">
        <f>IF(V10="","",V10)</f>
        <v>0</v>
      </c>
      <c r="F10" s="14">
        <f t="shared" si="0"/>
        <v>200</v>
      </c>
      <c r="G10" s="352">
        <f>IF(X10="","",X10)</f>
        <v>0</v>
      </c>
      <c r="H10" s="14">
        <f t="shared" si="1"/>
        <v>150</v>
      </c>
      <c r="I10" s="352">
        <f>IF(Z10="","",Z10)</f>
        <v>0</v>
      </c>
      <c r="J10" s="14" t="str">
        <f t="shared" si="2"/>
        <v/>
      </c>
      <c r="K10" s="352">
        <f>IF(AB10="","",AB10)</f>
        <v>0</v>
      </c>
      <c r="L10" s="14" t="str">
        <f t="shared" si="3"/>
        <v/>
      </c>
      <c r="M10" s="352">
        <f>IF(AD10="","",AD10)</f>
        <v>0</v>
      </c>
      <c r="N10" s="14">
        <f t="shared" si="4"/>
        <v>487</v>
      </c>
      <c r="O10" s="352">
        <f>IF(AF10="","",AF10)</f>
        <v>0</v>
      </c>
      <c r="R10" s="355" t="s">
        <v>2</v>
      </c>
      <c r="S10" s="68" t="str">
        <f>IF(T10=0,"",VLOOKUP(T10,Starter!$A$1:$D$196,2,FALSE))</f>
        <v>Bothe, Willi</v>
      </c>
      <c r="T10" s="178">
        <v>38570</v>
      </c>
      <c r="U10" s="186">
        <v>137</v>
      </c>
      <c r="V10" s="95">
        <f>IF(SUM(U10:U12)+U26=0,0,IF(ABS(SUM(U10:U12))=U26,0.5,IF(ABS(SUM(U10:U12))&gt;U26,1,0)))</f>
        <v>0</v>
      </c>
      <c r="W10" s="186">
        <v>200</v>
      </c>
      <c r="X10" s="95">
        <f>IF(SUM(W10:W12)+W26=0,0,IF(ABS(SUM(W10:W12))=W26,0.5,IF(ABS(SUM(W10:W12))&gt;W26,1,0)))</f>
        <v>0</v>
      </c>
      <c r="Y10" s="186">
        <v>150</v>
      </c>
      <c r="Z10" s="95">
        <f>IF(SUM(Y10:Y12)+Y26=0,0,IF(ABS(SUM(Y10:Y12))=Y26,0.5,IF(ABS(SUM(Y10:Y12))&gt;Y26,1,0)))</f>
        <v>0</v>
      </c>
      <c r="AA10" s="186"/>
      <c r="AB10" s="95">
        <f>IF(SUM(AA10:AA12)+AA26=0,0,IF(ABS(SUM(AA10:AA12))=AA26,0.5,IF(ABS(SUM(AA10:AA12))&gt;AA26,1,0)))</f>
        <v>0</v>
      </c>
      <c r="AC10" s="186"/>
      <c r="AD10" s="95">
        <f>IF(SUM(AC10:AC12)+AC26=0,0,IF(ABS(SUM(AC10:AC12))=AC26,0.5,IF(ABS(SUM(AC10:AC12))&gt;AC26,1,0)))</f>
        <v>0</v>
      </c>
      <c r="AE10" s="195">
        <f t="shared" si="5"/>
        <v>487</v>
      </c>
      <c r="AF10" s="180">
        <f>SUM(V10+X10+Z10+AB10+AD10)</f>
        <v>0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6"/>
        <v>38570</v>
      </c>
      <c r="BE10" s="213">
        <f t="shared" si="7"/>
        <v>487</v>
      </c>
      <c r="BF10" s="215">
        <f t="shared" si="8"/>
        <v>3</v>
      </c>
      <c r="BG10" s="215">
        <f t="shared" si="9"/>
        <v>3</v>
      </c>
      <c r="BH10" s="215">
        <f t="shared" si="10"/>
        <v>137</v>
      </c>
      <c r="BI10" s="215">
        <f t="shared" si="11"/>
        <v>200</v>
      </c>
      <c r="BJ10" s="215">
        <f t="shared" si="12"/>
        <v>150</v>
      </c>
      <c r="BK10" s="215" t="str">
        <f t="shared" si="13"/>
        <v/>
      </c>
      <c r="BL10" s="215" t="str">
        <f t="shared" si="14"/>
        <v/>
      </c>
      <c r="BM10" s="216"/>
      <c r="BN10" s="214"/>
      <c r="BO10" s="215">
        <f t="shared" si="15"/>
        <v>200</v>
      </c>
      <c r="BP10" s="215">
        <f t="shared" si="16"/>
        <v>0</v>
      </c>
      <c r="BQ10" s="215" t="str">
        <f t="shared" si="22"/>
        <v>Castra Regina Regensburg 3</v>
      </c>
      <c r="BR10" s="214">
        <f t="shared" si="17"/>
        <v>2</v>
      </c>
      <c r="BS10" s="215">
        <f t="shared" si="18"/>
        <v>487</v>
      </c>
      <c r="BT10" s="215">
        <f>IF(COUNTIF(BH10:BL10,"&gt;0")&lt;Spielorte!$A$23,0,BE10/Spielorte!$A$23)</f>
        <v>0</v>
      </c>
      <c r="BU10" s="215">
        <f t="shared" si="19"/>
        <v>0</v>
      </c>
      <c r="BV10" s="214">
        <f t="shared" si="20"/>
        <v>0</v>
      </c>
    </row>
    <row r="11" spans="1:74" ht="17.100000000000001" customHeight="1" x14ac:dyDescent="0.2">
      <c r="A11" s="374"/>
      <c r="B11" s="19" t="str">
        <f t="shared" si="21"/>
        <v>Simon, Diana</v>
      </c>
      <c r="C11" s="20">
        <f t="shared" si="21"/>
        <v>38869</v>
      </c>
      <c r="D11" s="15" t="str">
        <f t="shared" si="21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>
        <f t="shared" si="2"/>
        <v>138</v>
      </c>
      <c r="K11" s="353"/>
      <c r="L11" s="15">
        <f t="shared" si="3"/>
        <v>162</v>
      </c>
      <c r="M11" s="353"/>
      <c r="N11" s="15">
        <f t="shared" si="4"/>
        <v>300</v>
      </c>
      <c r="O11" s="353"/>
      <c r="R11" s="356"/>
      <c r="S11" s="68" t="str">
        <f>IF(T11=0,"",VLOOKUP(T11,Starter!$A$1:$D$196,2,FALSE))</f>
        <v>Simon, Diana</v>
      </c>
      <c r="T11" s="176">
        <v>38869</v>
      </c>
      <c r="U11" s="184"/>
      <c r="V11" s="96"/>
      <c r="W11" s="184"/>
      <c r="X11" s="96"/>
      <c r="Y11" s="184"/>
      <c r="Z11" s="96"/>
      <c r="AA11" s="184">
        <v>138</v>
      </c>
      <c r="AB11" s="96"/>
      <c r="AC11" s="184">
        <v>162</v>
      </c>
      <c r="AD11" s="96"/>
      <c r="AE11" s="196">
        <f t="shared" si="5"/>
        <v>300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6"/>
        <v>38869</v>
      </c>
      <c r="BE11" s="213">
        <f t="shared" si="7"/>
        <v>300</v>
      </c>
      <c r="BF11" s="215">
        <f t="shared" si="8"/>
        <v>2</v>
      </c>
      <c r="BG11" s="215">
        <f t="shared" si="9"/>
        <v>2</v>
      </c>
      <c r="BH11" s="215" t="str">
        <f t="shared" si="10"/>
        <v/>
      </c>
      <c r="BI11" s="215" t="str">
        <f t="shared" si="11"/>
        <v/>
      </c>
      <c r="BJ11" s="215" t="str">
        <f t="shared" si="12"/>
        <v/>
      </c>
      <c r="BK11" s="215">
        <f t="shared" si="13"/>
        <v>138</v>
      </c>
      <c r="BL11" s="215">
        <f t="shared" si="14"/>
        <v>162</v>
      </c>
      <c r="BM11" s="216"/>
      <c r="BN11" s="214"/>
      <c r="BO11" s="215">
        <f t="shared" si="15"/>
        <v>162</v>
      </c>
      <c r="BP11" s="215">
        <f t="shared" si="16"/>
        <v>0</v>
      </c>
      <c r="BQ11" s="215" t="str">
        <f t="shared" si="22"/>
        <v>Castra Regina Regensburg 3</v>
      </c>
      <c r="BR11" s="214">
        <f t="shared" si="17"/>
        <v>2</v>
      </c>
      <c r="BS11" s="215">
        <f t="shared" si="18"/>
        <v>300</v>
      </c>
      <c r="BT11" s="215">
        <f>IF(COUNTIF(BH11:BL11,"&gt;0")&lt;Spielorte!$A$23,0,BE11/Spielorte!$A$23)</f>
        <v>0</v>
      </c>
      <c r="BU11" s="215">
        <f t="shared" si="19"/>
        <v>0</v>
      </c>
      <c r="BV11" s="214">
        <f t="shared" si="20"/>
        <v>0</v>
      </c>
    </row>
    <row r="12" spans="1:74" ht="17.100000000000001" customHeight="1" thickBot="1" x14ac:dyDescent="0.25">
      <c r="A12" s="375"/>
      <c r="B12" s="21" t="str">
        <f t="shared" si="21"/>
        <v/>
      </c>
      <c r="C12" s="22" t="str">
        <f t="shared" si="21"/>
        <v/>
      </c>
      <c r="D12" s="9" t="str">
        <f t="shared" si="21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6"/>
        <v>0</v>
      </c>
      <c r="BE12" s="213">
        <f t="shared" si="7"/>
        <v>0</v>
      </c>
      <c r="BF12" s="215">
        <f t="shared" si="8"/>
        <v>0</v>
      </c>
      <c r="BG12" s="215">
        <f t="shared" si="9"/>
        <v>0</v>
      </c>
      <c r="BH12" s="215" t="str">
        <f t="shared" si="10"/>
        <v/>
      </c>
      <c r="BI12" s="215" t="str">
        <f t="shared" si="11"/>
        <v/>
      </c>
      <c r="BJ12" s="215" t="str">
        <f t="shared" si="12"/>
        <v/>
      </c>
      <c r="BK12" s="215" t="str">
        <f t="shared" si="13"/>
        <v/>
      </c>
      <c r="BL12" s="215" t="str">
        <f t="shared" si="14"/>
        <v/>
      </c>
      <c r="BM12" s="216"/>
      <c r="BN12" s="214"/>
      <c r="BO12" s="215">
        <f t="shared" si="15"/>
        <v>0</v>
      </c>
      <c r="BP12" s="215">
        <f t="shared" si="16"/>
        <v>0</v>
      </c>
      <c r="BQ12" s="215" t="str">
        <f t="shared" si="22"/>
        <v>Castra Regina Regensburg 3</v>
      </c>
      <c r="BR12" s="214">
        <f t="shared" si="17"/>
        <v>2</v>
      </c>
      <c r="BS12" s="215">
        <f t="shared" si="18"/>
        <v>0</v>
      </c>
      <c r="BT12" s="215">
        <f>IF(COUNTIF(BH12:BL12,"&gt;0")&lt;Spielorte!$A$23,0,BE12/Spielorte!$A$23)</f>
        <v>0</v>
      </c>
      <c r="BU12" s="215">
        <f t="shared" si="19"/>
        <v>0</v>
      </c>
      <c r="BV12" s="214">
        <f t="shared" si="20"/>
        <v>0</v>
      </c>
    </row>
    <row r="13" spans="1:74" ht="17.100000000000001" customHeight="1" x14ac:dyDescent="0.2">
      <c r="A13" s="373" t="s">
        <v>3</v>
      </c>
      <c r="B13" s="17" t="str">
        <f t="shared" si="21"/>
        <v>Walzer, Peter</v>
      </c>
      <c r="C13" s="18">
        <f t="shared" si="21"/>
        <v>7813</v>
      </c>
      <c r="D13" s="14">
        <f t="shared" si="21"/>
        <v>149</v>
      </c>
      <c r="E13" s="352">
        <f>IF(V13="","",V13)</f>
        <v>0</v>
      </c>
      <c r="F13" s="14">
        <f t="shared" si="0"/>
        <v>202</v>
      </c>
      <c r="G13" s="352">
        <f>IF(X13="","",X13)</f>
        <v>1</v>
      </c>
      <c r="H13" s="14">
        <f t="shared" si="1"/>
        <v>208</v>
      </c>
      <c r="I13" s="352">
        <f>IF(Z13="","",Z13)</f>
        <v>1</v>
      </c>
      <c r="J13" s="14">
        <f t="shared" si="2"/>
        <v>203</v>
      </c>
      <c r="K13" s="352">
        <f>IF(AB13="","",AB13)</f>
        <v>1</v>
      </c>
      <c r="L13" s="14">
        <f t="shared" si="3"/>
        <v>233</v>
      </c>
      <c r="M13" s="352">
        <f>IF(AD13="","",AD13)</f>
        <v>1</v>
      </c>
      <c r="N13" s="14">
        <f t="shared" si="4"/>
        <v>995</v>
      </c>
      <c r="O13" s="352">
        <f>IF(AF13="","",AF13)</f>
        <v>4</v>
      </c>
      <c r="R13" s="355" t="s">
        <v>3</v>
      </c>
      <c r="S13" s="68" t="str">
        <f>IF(T13=0,"",VLOOKUP(T13,Starter!$A$1:$D$196,2,FALSE))</f>
        <v>Walzer, Peter</v>
      </c>
      <c r="T13" s="178">
        <v>7813</v>
      </c>
      <c r="U13" s="186">
        <v>149</v>
      </c>
      <c r="V13" s="95">
        <f>IF(SUM(U13:U15)+U27=0,0,IF(ABS(SUM(U13:U15))=U27,0.5,IF(ABS(SUM(U13:U15))&gt;U27,1,0)))</f>
        <v>0</v>
      </c>
      <c r="W13" s="186">
        <v>202</v>
      </c>
      <c r="X13" s="95">
        <f>IF(SUM(W13:W15)+W27=0,0,IF(ABS(SUM(W13:W15))=W27,0.5,IF(ABS(SUM(W13:W15))&gt;W27,1,0)))</f>
        <v>1</v>
      </c>
      <c r="Y13" s="186">
        <v>208</v>
      </c>
      <c r="Z13" s="95">
        <f>IF(SUM(Y13:Y15)+Y27=0,0,IF(ABS(SUM(Y13:Y15))=Y27,0.5,IF(ABS(SUM(Y13:Y15))&gt;Y27,1,0)))</f>
        <v>1</v>
      </c>
      <c r="AA13" s="186">
        <v>203</v>
      </c>
      <c r="AB13" s="95">
        <f>IF(SUM(AA13:AA15)+AA27=0,0,IF(ABS(SUM(AA13:AA15))=AA27,0.5,IF(ABS(SUM(AA13:AA15))&gt;AA27,1,0)))</f>
        <v>1</v>
      </c>
      <c r="AC13" s="186">
        <v>233</v>
      </c>
      <c r="AD13" s="95">
        <f>IF(SUM(AC13:AC15)+AC27=0,0,IF(ABS(SUM(AC13:AC15))=AC27,0.5,IF(ABS(SUM(AC13:AC15))&gt;AC27,1,0)))</f>
        <v>1</v>
      </c>
      <c r="AE13" s="195">
        <f t="shared" si="5"/>
        <v>995</v>
      </c>
      <c r="AF13" s="180">
        <f>SUM(V13+X13+Z13+AB13+AD13)</f>
        <v>4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6"/>
        <v>7813</v>
      </c>
      <c r="BE13" s="213">
        <f t="shared" si="7"/>
        <v>995</v>
      </c>
      <c r="BF13" s="215">
        <f t="shared" si="8"/>
        <v>5</v>
      </c>
      <c r="BG13" s="215">
        <f t="shared" si="9"/>
        <v>5</v>
      </c>
      <c r="BH13" s="215">
        <f t="shared" si="10"/>
        <v>149</v>
      </c>
      <c r="BI13" s="215">
        <f t="shared" si="11"/>
        <v>202</v>
      </c>
      <c r="BJ13" s="215">
        <f t="shared" si="12"/>
        <v>208</v>
      </c>
      <c r="BK13" s="215">
        <f t="shared" si="13"/>
        <v>203</v>
      </c>
      <c r="BL13" s="215">
        <f t="shared" si="14"/>
        <v>233</v>
      </c>
      <c r="BM13" s="216"/>
      <c r="BN13" s="214"/>
      <c r="BO13" s="215">
        <f t="shared" si="15"/>
        <v>233</v>
      </c>
      <c r="BP13" s="215">
        <f t="shared" si="16"/>
        <v>0</v>
      </c>
      <c r="BQ13" s="215" t="str">
        <f t="shared" si="22"/>
        <v>Castra Regina Regensburg 3</v>
      </c>
      <c r="BR13" s="214">
        <f t="shared" si="17"/>
        <v>2</v>
      </c>
      <c r="BS13" s="215">
        <f t="shared" si="18"/>
        <v>995</v>
      </c>
      <c r="BT13" s="215">
        <f>IF(COUNTIF(BH13:BL13,"&gt;0")&lt;Spielorte!$A$23,0,BE13/Spielorte!$A$23)</f>
        <v>199</v>
      </c>
      <c r="BU13" s="215">
        <f t="shared" si="19"/>
        <v>199.000000013</v>
      </c>
      <c r="BV13" s="214">
        <f t="shared" si="20"/>
        <v>1</v>
      </c>
    </row>
    <row r="14" spans="1:74" ht="17.100000000000001" customHeight="1" x14ac:dyDescent="0.2">
      <c r="A14" s="374"/>
      <c r="B14" s="19" t="str">
        <f t="shared" si="21"/>
        <v/>
      </c>
      <c r="C14" s="20" t="str">
        <f t="shared" si="21"/>
        <v/>
      </c>
      <c r="D14" s="15" t="str">
        <f t="shared" si="21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6"/>
        <v>0</v>
      </c>
      <c r="BE14" s="213">
        <f t="shared" si="7"/>
        <v>0</v>
      </c>
      <c r="BF14" s="215">
        <f t="shared" si="8"/>
        <v>0</v>
      </c>
      <c r="BG14" s="215">
        <f t="shared" si="9"/>
        <v>0</v>
      </c>
      <c r="BH14" s="215" t="str">
        <f t="shared" si="10"/>
        <v/>
      </c>
      <c r="BI14" s="215" t="str">
        <f t="shared" si="11"/>
        <v/>
      </c>
      <c r="BJ14" s="215" t="str">
        <f t="shared" si="12"/>
        <v/>
      </c>
      <c r="BK14" s="215" t="str">
        <f t="shared" si="13"/>
        <v/>
      </c>
      <c r="BL14" s="215" t="str">
        <f t="shared" si="14"/>
        <v/>
      </c>
      <c r="BM14" s="216"/>
      <c r="BN14" s="214"/>
      <c r="BO14" s="215">
        <f t="shared" si="15"/>
        <v>0</v>
      </c>
      <c r="BP14" s="215">
        <f t="shared" si="16"/>
        <v>0</v>
      </c>
      <c r="BQ14" s="215" t="str">
        <f t="shared" si="22"/>
        <v>Castra Regina Regensburg 3</v>
      </c>
      <c r="BR14" s="214">
        <f t="shared" si="17"/>
        <v>2</v>
      </c>
      <c r="BS14" s="215">
        <f t="shared" si="18"/>
        <v>0</v>
      </c>
      <c r="BT14" s="215">
        <f>IF(COUNTIF(BH14:BL14,"&gt;0")&lt;Spielorte!$A$23,0,BE14/Spielorte!$A$23)</f>
        <v>0</v>
      </c>
      <c r="BU14" s="215">
        <f t="shared" si="19"/>
        <v>0</v>
      </c>
      <c r="BV14" s="214">
        <f t="shared" si="20"/>
        <v>0</v>
      </c>
    </row>
    <row r="15" spans="1:74" ht="17.100000000000001" customHeight="1" thickBot="1" x14ac:dyDescent="0.25">
      <c r="A15" s="375"/>
      <c r="B15" s="21" t="str">
        <f t="shared" si="21"/>
        <v/>
      </c>
      <c r="C15" s="22" t="str">
        <f t="shared" si="21"/>
        <v/>
      </c>
      <c r="D15" s="9" t="str">
        <f t="shared" si="21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6"/>
        <v>0</v>
      </c>
      <c r="BE15" s="213">
        <f t="shared" si="7"/>
        <v>0</v>
      </c>
      <c r="BF15" s="215">
        <f t="shared" si="8"/>
        <v>0</v>
      </c>
      <c r="BG15" s="215">
        <f t="shared" si="9"/>
        <v>0</v>
      </c>
      <c r="BH15" s="215" t="str">
        <f t="shared" si="10"/>
        <v/>
      </c>
      <c r="BI15" s="215" t="str">
        <f t="shared" si="11"/>
        <v/>
      </c>
      <c r="BJ15" s="215" t="str">
        <f t="shared" si="12"/>
        <v/>
      </c>
      <c r="BK15" s="215" t="str">
        <f t="shared" si="13"/>
        <v/>
      </c>
      <c r="BL15" s="215" t="str">
        <f t="shared" si="14"/>
        <v/>
      </c>
      <c r="BM15" s="216"/>
      <c r="BN15" s="214"/>
      <c r="BO15" s="215">
        <f t="shared" si="15"/>
        <v>0</v>
      </c>
      <c r="BP15" s="215">
        <f t="shared" si="16"/>
        <v>0</v>
      </c>
      <c r="BQ15" s="215" t="str">
        <f t="shared" si="22"/>
        <v>Castra Regina Regensburg 3</v>
      </c>
      <c r="BR15" s="214">
        <f t="shared" si="17"/>
        <v>2</v>
      </c>
      <c r="BS15" s="215">
        <f t="shared" si="18"/>
        <v>0</v>
      </c>
      <c r="BT15" s="215">
        <f>IF(COUNTIF(BH15:BL15,"&gt;0")&lt;Spielorte!$A$23,0,BE15/Spielorte!$A$23)</f>
        <v>0</v>
      </c>
      <c r="BU15" s="215">
        <f t="shared" si="19"/>
        <v>0</v>
      </c>
      <c r="BV15" s="214">
        <f t="shared" si="20"/>
        <v>0</v>
      </c>
    </row>
    <row r="16" spans="1:74" ht="17.100000000000001" customHeight="1" x14ac:dyDescent="0.2">
      <c r="A16" s="373" t="s">
        <v>11</v>
      </c>
      <c r="B16" s="17" t="str">
        <f>IF(S16=0,"",S16)</f>
        <v>Kauscher, Bernhard</v>
      </c>
      <c r="C16" s="18">
        <f t="shared" si="21"/>
        <v>7814</v>
      </c>
      <c r="D16" s="14">
        <f t="shared" si="21"/>
        <v>209</v>
      </c>
      <c r="E16" s="352">
        <f>IF(V16="","",V16)</f>
        <v>1</v>
      </c>
      <c r="F16" s="14">
        <f t="shared" si="0"/>
        <v>172</v>
      </c>
      <c r="G16" s="352">
        <f>IF(X16="","",X16)</f>
        <v>0</v>
      </c>
      <c r="H16" s="14">
        <f t="shared" si="1"/>
        <v>180</v>
      </c>
      <c r="I16" s="352">
        <f>IF(Z16="","",Z16)</f>
        <v>1</v>
      </c>
      <c r="J16" s="14">
        <f t="shared" si="2"/>
        <v>212</v>
      </c>
      <c r="K16" s="352">
        <f>IF(AB16="","",AB16)</f>
        <v>1</v>
      </c>
      <c r="L16" s="14">
        <f t="shared" si="3"/>
        <v>176</v>
      </c>
      <c r="M16" s="352">
        <f>IF(AD16="","",AD16)</f>
        <v>0</v>
      </c>
      <c r="N16" s="14">
        <f t="shared" si="4"/>
        <v>949</v>
      </c>
      <c r="O16" s="352">
        <f>IF(AF16="","",AF16)</f>
        <v>3</v>
      </c>
      <c r="R16" s="355" t="s">
        <v>11</v>
      </c>
      <c r="S16" s="68" t="str">
        <f>IF(T16=0,"",VLOOKUP(T16,Starter!$A$1:$D$196,2,FALSE))</f>
        <v>Kauscher, Bernhard</v>
      </c>
      <c r="T16" s="178">
        <v>7814</v>
      </c>
      <c r="U16" s="186">
        <v>209</v>
      </c>
      <c r="V16" s="95">
        <f>IF(SUM(U16:U18)+U28=0,0,IF(ABS(SUM(U16:U18))=U28,0.5,IF(ABS(SUM(U16:U18))&gt;U28,1,0)))</f>
        <v>1</v>
      </c>
      <c r="W16" s="186">
        <v>172</v>
      </c>
      <c r="X16" s="95">
        <f>IF(SUM(W16:W18)+W28=0,0,IF(ABS(SUM(W16:W18))=W28,0.5,IF(ABS(SUM(W16:W18))&gt;W28,1,0)))</f>
        <v>0</v>
      </c>
      <c r="Y16" s="186">
        <v>180</v>
      </c>
      <c r="Z16" s="95">
        <f>IF(SUM(Y16:Y18)+Y28=0,0,IF(ABS(SUM(Y16:Y18))=Y28,0.5,IF(ABS(SUM(Y16:Y18))&gt;Y28,1,0)))</f>
        <v>1</v>
      </c>
      <c r="AA16" s="186">
        <v>212</v>
      </c>
      <c r="AB16" s="95">
        <f>IF(SUM(AA16:AA18)+AA28=0,0,IF(ABS(SUM(AA16:AA18))=AA28,0.5,IF(ABS(SUM(AA16:AA18))&gt;AA28,1,0)))</f>
        <v>1</v>
      </c>
      <c r="AC16" s="186">
        <v>176</v>
      </c>
      <c r="AD16" s="95">
        <f>IF(SUM(AC16:AC18)+AC28=0,0,IF(ABS(SUM(AC16:AC18))=AC28,0.5,IF(ABS(SUM(AC16:AC18))&gt;AC28,1,0)))</f>
        <v>0</v>
      </c>
      <c r="AE16" s="195">
        <f t="shared" si="5"/>
        <v>949</v>
      </c>
      <c r="AF16" s="180">
        <f>SUM(V16+X16+Z16+AB16+AD16)</f>
        <v>3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6"/>
        <v>7814</v>
      </c>
      <c r="BE16" s="213">
        <f t="shared" si="7"/>
        <v>949</v>
      </c>
      <c r="BF16" s="215">
        <f t="shared" si="8"/>
        <v>5</v>
      </c>
      <c r="BG16" s="215">
        <f t="shared" si="9"/>
        <v>5</v>
      </c>
      <c r="BH16" s="215">
        <f t="shared" si="10"/>
        <v>209</v>
      </c>
      <c r="BI16" s="215">
        <f t="shared" si="11"/>
        <v>172</v>
      </c>
      <c r="BJ16" s="215">
        <f t="shared" si="12"/>
        <v>180</v>
      </c>
      <c r="BK16" s="215">
        <f t="shared" si="13"/>
        <v>212</v>
      </c>
      <c r="BL16" s="215">
        <f t="shared" si="14"/>
        <v>176</v>
      </c>
      <c r="BM16" s="216"/>
      <c r="BN16" s="214"/>
      <c r="BO16" s="215">
        <f t="shared" si="15"/>
        <v>212</v>
      </c>
      <c r="BP16" s="215">
        <f t="shared" si="16"/>
        <v>0</v>
      </c>
      <c r="BQ16" s="215" t="str">
        <f t="shared" si="22"/>
        <v>Castra Regina Regensburg 3</v>
      </c>
      <c r="BR16" s="214">
        <f t="shared" si="17"/>
        <v>2</v>
      </c>
      <c r="BS16" s="215">
        <f t="shared" si="18"/>
        <v>949</v>
      </c>
      <c r="BT16" s="215">
        <f>IF(COUNTIF(BH16:BL16,"&gt;0")&lt;Spielorte!$A$23,0,BE16/Spielorte!$A$23)</f>
        <v>189.8</v>
      </c>
      <c r="BU16" s="215">
        <f t="shared" si="19"/>
        <v>0</v>
      </c>
      <c r="BV16" s="214">
        <f t="shared" si="20"/>
        <v>0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21"/>
        <v/>
      </c>
      <c r="D17" s="15" t="str">
        <f t="shared" si="21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6"/>
        <v>0</v>
      </c>
      <c r="BE17" s="213">
        <f t="shared" si="7"/>
        <v>0</v>
      </c>
      <c r="BF17" s="215">
        <f t="shared" si="8"/>
        <v>0</v>
      </c>
      <c r="BG17" s="215">
        <f t="shared" si="9"/>
        <v>0</v>
      </c>
      <c r="BH17" s="215" t="str">
        <f t="shared" si="10"/>
        <v/>
      </c>
      <c r="BI17" s="215" t="str">
        <f t="shared" si="11"/>
        <v/>
      </c>
      <c r="BJ17" s="215" t="str">
        <f t="shared" si="12"/>
        <v/>
      </c>
      <c r="BK17" s="215" t="str">
        <f t="shared" si="13"/>
        <v/>
      </c>
      <c r="BL17" s="215" t="str">
        <f t="shared" si="14"/>
        <v/>
      </c>
      <c r="BM17" s="216"/>
      <c r="BN17" s="214"/>
      <c r="BO17" s="215">
        <f t="shared" si="15"/>
        <v>0</v>
      </c>
      <c r="BP17" s="215">
        <f t="shared" si="16"/>
        <v>0</v>
      </c>
      <c r="BQ17" s="215" t="str">
        <f t="shared" si="22"/>
        <v>Castra Regina Regensburg 3</v>
      </c>
      <c r="BR17" s="214">
        <f t="shared" si="17"/>
        <v>2</v>
      </c>
      <c r="BS17" s="215">
        <f t="shared" si="18"/>
        <v>0</v>
      </c>
      <c r="BT17" s="215">
        <f>IF(COUNTIF(BH17:BL17,"&gt;0")&lt;Spielorte!$A$23,0,BE17/Spielorte!$A$23)</f>
        <v>0</v>
      </c>
      <c r="BU17" s="215">
        <f t="shared" si="19"/>
        <v>0</v>
      </c>
      <c r="BV17" s="214">
        <f t="shared" si="20"/>
        <v>0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21"/>
        <v/>
      </c>
      <c r="D18" s="9" t="str">
        <f t="shared" si="21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6"/>
        <v>0</v>
      </c>
      <c r="BE18" s="213">
        <f t="shared" si="7"/>
        <v>0</v>
      </c>
      <c r="BF18" s="215">
        <f t="shared" si="8"/>
        <v>0</v>
      </c>
      <c r="BG18" s="215">
        <f t="shared" si="9"/>
        <v>0</v>
      </c>
      <c r="BH18" s="215" t="str">
        <f t="shared" si="10"/>
        <v/>
      </c>
      <c r="BI18" s="215" t="str">
        <f t="shared" si="11"/>
        <v/>
      </c>
      <c r="BJ18" s="215" t="str">
        <f t="shared" si="12"/>
        <v/>
      </c>
      <c r="BK18" s="215" t="str">
        <f t="shared" si="13"/>
        <v/>
      </c>
      <c r="BL18" s="215" t="str">
        <f t="shared" si="14"/>
        <v/>
      </c>
      <c r="BM18" s="216"/>
      <c r="BN18" s="214"/>
      <c r="BO18" s="215">
        <f t="shared" si="15"/>
        <v>0</v>
      </c>
      <c r="BP18" s="215">
        <f t="shared" si="16"/>
        <v>0</v>
      </c>
      <c r="BQ18" s="215" t="str">
        <f t="shared" si="22"/>
        <v>Castra Regina Regensburg 3</v>
      </c>
      <c r="BR18" s="214">
        <f t="shared" si="17"/>
        <v>2</v>
      </c>
      <c r="BS18" s="215">
        <f t="shared" si="18"/>
        <v>0</v>
      </c>
      <c r="BT18" s="215">
        <f>IF(COUNTIF(BH18:BL18,"&gt;0")&lt;Spielorte!$A$23,0,BE18/Spielorte!$A$23)</f>
        <v>0</v>
      </c>
      <c r="BU18" s="215">
        <f t="shared" si="19"/>
        <v>0</v>
      </c>
      <c r="BV18" s="214">
        <f t="shared" si="20"/>
        <v>0</v>
      </c>
    </row>
    <row r="19" spans="1:74" ht="27.75" customHeight="1" thickBot="1" x14ac:dyDescent="0.25">
      <c r="B19" s="11" t="str">
        <f>IF(S19=0,"",S19)</f>
        <v>Gesamt</v>
      </c>
      <c r="C19" s="26" t="str">
        <f t="shared" si="21"/>
        <v/>
      </c>
      <c r="D19" s="16">
        <f t="shared" si="21"/>
        <v>653</v>
      </c>
      <c r="E19" s="12">
        <f>IF(V19="","",V19)</f>
        <v>0</v>
      </c>
      <c r="F19" s="16">
        <f t="shared" si="0"/>
        <v>766</v>
      </c>
      <c r="G19" s="12">
        <f>IF(X19="","",X19)</f>
        <v>2</v>
      </c>
      <c r="H19" s="16">
        <f t="shared" si="1"/>
        <v>717</v>
      </c>
      <c r="I19" s="12">
        <f>IF(Z19="","",Z19)</f>
        <v>2</v>
      </c>
      <c r="J19" s="16">
        <f t="shared" si="2"/>
        <v>729</v>
      </c>
      <c r="K19" s="12">
        <f>IF(AB19="","",AB19)</f>
        <v>2</v>
      </c>
      <c r="L19" s="16">
        <f t="shared" si="3"/>
        <v>785</v>
      </c>
      <c r="M19" s="12">
        <f>IF(AD19="","",AD19)</f>
        <v>2</v>
      </c>
      <c r="N19" s="16">
        <f t="shared" si="4"/>
        <v>3650</v>
      </c>
      <c r="O19" s="12">
        <f>IF(AF19="","",AF19)</f>
        <v>8</v>
      </c>
      <c r="S19" s="11" t="s">
        <v>1791</v>
      </c>
      <c r="T19" s="71"/>
      <c r="U19" s="188">
        <f>ABS(SUM(U7:U9))+ABS(SUM(U10:U12))+ABS(SUM(U13:U15))+ABS(SUM(U16:U18))</f>
        <v>653</v>
      </c>
      <c r="V19" s="98">
        <f>IF(U19+U29=0,0,IF(U19=U29,1,IF(U19&gt;U29,2,0)))</f>
        <v>0</v>
      </c>
      <c r="W19" s="188">
        <f>ABS(SUM(W7:W9))+ABS(SUM(W10:W12))+ABS(SUM(W13:W15))+ABS(SUM(W16:W18))</f>
        <v>766</v>
      </c>
      <c r="X19" s="98">
        <f>IF(W19+W29=0,0,IF(W19=W29,1,IF(W19&gt;W29,2,0)))</f>
        <v>2</v>
      </c>
      <c r="Y19" s="188">
        <f>ABS(SUM(Y7:Y9))+ABS(SUM(Y10:Y12))+ABS(SUM(Y13:Y15))+ABS(SUM(Y16:Y18))</f>
        <v>717</v>
      </c>
      <c r="Z19" s="98">
        <f>IF(Y19+Y29=0,0,IF(Y19=Y29,1,IF(Y19&gt;Y29,2,0)))</f>
        <v>2</v>
      </c>
      <c r="AA19" s="188">
        <f>ABS(SUM(AA7:AA9))+ABS(SUM(AA10:AA12))+ABS(SUM(AA13:AA15))+ABS(SUM(AA16:AA18))</f>
        <v>729</v>
      </c>
      <c r="AB19" s="98">
        <f>IF(AA19+AA29=0,0,IF(AA19=AA29,1,IF(AA19&gt;AA29,2,0)))</f>
        <v>2</v>
      </c>
      <c r="AC19" s="188">
        <f>ABS(SUM(AC7:AC9))+ABS(SUM(AC10:AC12))+ABS(SUM(AC13:AC15))+ABS(SUM(AC16:AC18))</f>
        <v>785</v>
      </c>
      <c r="AD19" s="98">
        <f>IF(AC19+AC29=0,0,IF(AC19=AC29,1,IF(AC19&gt;AC29,2,0)))</f>
        <v>2</v>
      </c>
      <c r="AE19" s="198">
        <f>SUM(U19+W19+Y19+AA19+AC19)</f>
        <v>3650</v>
      </c>
      <c r="AF19" s="12">
        <f>SUM(V19+X19+Z19+AB19+AD19)</f>
        <v>8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21"/>
        <v/>
      </c>
      <c r="D20" s="1" t="str">
        <f t="shared" si="21"/>
        <v/>
      </c>
      <c r="E20" s="23">
        <f>IF(V20="","",V20)</f>
        <v>1</v>
      </c>
      <c r="F20" s="1" t="str">
        <f t="shared" si="0"/>
        <v/>
      </c>
      <c r="G20" s="23">
        <f>IF(X20="","",X20)</f>
        <v>4</v>
      </c>
      <c r="H20" s="1" t="str">
        <f t="shared" si="1"/>
        <v/>
      </c>
      <c r="I20" s="23">
        <f>IF(Z20="","",Z20)</f>
        <v>5</v>
      </c>
      <c r="J20" s="1" t="str">
        <f t="shared" si="2"/>
        <v/>
      </c>
      <c r="K20" s="23">
        <f>IF(AB20="","",AB20)</f>
        <v>5</v>
      </c>
      <c r="L20" s="1" t="str">
        <f t="shared" si="3"/>
        <v/>
      </c>
      <c r="M20" s="23">
        <f>IF(AD20="","",AD20)</f>
        <v>4</v>
      </c>
      <c r="N20" s="1" t="str">
        <f t="shared" si="4"/>
        <v/>
      </c>
      <c r="O20" s="23">
        <f>IF(AF20="","",AF20)</f>
        <v>19</v>
      </c>
      <c r="S20" s="8" t="s">
        <v>1802</v>
      </c>
      <c r="T20" s="1"/>
      <c r="U20" s="1"/>
      <c r="V20" s="72">
        <f>SUM(V7:V19)</f>
        <v>1</v>
      </c>
      <c r="W20" s="1"/>
      <c r="X20" s="72">
        <f>SUM(X7:X19)</f>
        <v>4</v>
      </c>
      <c r="Y20" s="1"/>
      <c r="Z20" s="72">
        <f>SUM(Z7:Z19)</f>
        <v>5</v>
      </c>
      <c r="AA20" s="1"/>
      <c r="AB20" s="72">
        <f>SUM(AB7:AB19)</f>
        <v>5</v>
      </c>
      <c r="AC20" s="1"/>
      <c r="AD20" s="72">
        <f>SUM(AD7:AD19)</f>
        <v>4</v>
      </c>
      <c r="AE20" s="1"/>
      <c r="AF20" s="72">
        <f>SUM(AF7:AF19)</f>
        <v>19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19</v>
      </c>
      <c r="BB20" s="213">
        <f>AE19</f>
        <v>3650</v>
      </c>
      <c r="BC20" s="214">
        <f>+S2</f>
        <v>1</v>
      </c>
      <c r="BF20" s="215">
        <f>SUM(BF1:BF19)</f>
        <v>20</v>
      </c>
      <c r="BM20" s="212">
        <f>+BB20/1000000+BA20</f>
        <v>19.00365</v>
      </c>
      <c r="BN20" s="214">
        <f>RANK(BM20,BM:BM)</f>
        <v>1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K24" si="23">IF(S22=0,"",S22)</f>
        <v>Gegner-Nr.:</v>
      </c>
      <c r="C22" s="5" t="str">
        <f t="shared" si="23"/>
        <v>&gt;&gt;&gt;&gt;</v>
      </c>
      <c r="D22" s="350">
        <f t="shared" si="23"/>
        <v>6</v>
      </c>
      <c r="E22" s="350" t="str">
        <f t="shared" si="23"/>
        <v/>
      </c>
      <c r="F22" s="350">
        <f t="shared" si="23"/>
        <v>2</v>
      </c>
      <c r="G22" s="350" t="str">
        <f t="shared" si="23"/>
        <v/>
      </c>
      <c r="H22" s="350">
        <f t="shared" si="23"/>
        <v>4</v>
      </c>
      <c r="I22" s="350" t="str">
        <f t="shared" si="23"/>
        <v/>
      </c>
      <c r="J22" s="350">
        <f t="shared" si="23"/>
        <v>5</v>
      </c>
      <c r="K22" s="350" t="str">
        <f t="shared" si="23"/>
        <v/>
      </c>
      <c r="L22" s="350">
        <f t="shared" ref="L22:M24" si="24">IF(AC22=0,"",AC22)</f>
        <v>3</v>
      </c>
      <c r="M22" s="350" t="str">
        <f t="shared" si="24"/>
        <v/>
      </c>
      <c r="N22" s="351"/>
      <c r="O22" s="351"/>
      <c r="S22" s="13" t="s">
        <v>1789</v>
      </c>
      <c r="T22" s="5" t="s">
        <v>1790</v>
      </c>
      <c r="U22" s="369">
        <f>VLOOKUP($S2,Schlüssel!$A$5:$DG$10,23)</f>
        <v>6</v>
      </c>
      <c r="V22" s="370"/>
      <c r="W22" s="369">
        <f>VLOOKUP($S2,Schlüssel!$A$5:$EK$10,24)</f>
        <v>2</v>
      </c>
      <c r="X22" s="370"/>
      <c r="Y22" s="369">
        <f>VLOOKUP($S2,Schlüssel!$A$5:$EK$10,25)</f>
        <v>4</v>
      </c>
      <c r="Z22" s="370"/>
      <c r="AA22" s="369">
        <f>VLOOKUP($S2,Schlüssel!$A$5:$EK$10,26)</f>
        <v>5</v>
      </c>
      <c r="AB22" s="370"/>
      <c r="AC22" s="369">
        <f>VLOOKUP($S2,Schlüssel!$A$5:$EK$10,27)</f>
        <v>3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si="23"/>
        <v/>
      </c>
      <c r="C23" s="1" t="str">
        <f t="shared" si="23"/>
        <v/>
      </c>
      <c r="D23" s="347" t="str">
        <f t="shared" si="23"/>
        <v>Adler Nürnberg 1</v>
      </c>
      <c r="E23" s="348" t="str">
        <f t="shared" si="23"/>
        <v/>
      </c>
      <c r="F23" s="347" t="str">
        <f t="shared" si="23"/>
        <v>Herzogenaurach 1</v>
      </c>
      <c r="G23" s="348" t="str">
        <f t="shared" si="23"/>
        <v/>
      </c>
      <c r="H23" s="347" t="str">
        <f t="shared" si="23"/>
        <v>Kings Club Bayreuth Land 3</v>
      </c>
      <c r="I23" s="348" t="str">
        <f t="shared" si="23"/>
        <v/>
      </c>
      <c r="J23" s="347" t="str">
        <f t="shared" si="23"/>
        <v>Castra Regina Regensburg 2</v>
      </c>
      <c r="K23" s="348" t="str">
        <f t="shared" si="23"/>
        <v/>
      </c>
      <c r="L23" s="347" t="str">
        <f t="shared" si="24"/>
        <v>Kings Club Bayreuth Land 2</v>
      </c>
      <c r="M23" s="348" t="str">
        <f t="shared" si="24"/>
        <v/>
      </c>
      <c r="N23" s="349"/>
      <c r="O23" s="349"/>
      <c r="S23" s="4"/>
      <c r="T23" s="1"/>
      <c r="U23" s="347" t="str">
        <f>VLOOKUP(U22,Schlüssel!$A$5:$K$10,2)</f>
        <v>Adler Nürnberg 1</v>
      </c>
      <c r="V23" s="348"/>
      <c r="W23" s="347" t="str">
        <f>VLOOKUP(W22,Schlüssel!$A$5:$K$10,2)</f>
        <v>Herzogenaurach 1</v>
      </c>
      <c r="X23" s="348"/>
      <c r="Y23" s="347" t="str">
        <f>VLOOKUP(Y22,Schlüssel!$A$5:$K$10,2)</f>
        <v>Kings Club Bayreuth Land 3</v>
      </c>
      <c r="Z23" s="348"/>
      <c r="AA23" s="347" t="str">
        <f>VLOOKUP(AA22,Schlüssel!$A$5:$K$10,2)</f>
        <v>Castra Regina Regensburg 2</v>
      </c>
      <c r="AB23" s="348"/>
      <c r="AC23" s="347" t="str">
        <f>VLOOKUP(AC22,Schlüssel!$A$5:$K$10,2)</f>
        <v>Kings Club Bayreuth Land 2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3"/>
        <v/>
      </c>
      <c r="C24" s="1" t="str">
        <f t="shared" si="23"/>
        <v/>
      </c>
      <c r="D24" s="346" t="str">
        <f t="shared" si="23"/>
        <v/>
      </c>
      <c r="E24" s="346" t="str">
        <f t="shared" si="23"/>
        <v/>
      </c>
      <c r="F24" s="346" t="str">
        <f t="shared" si="23"/>
        <v/>
      </c>
      <c r="G24" s="346" t="str">
        <f t="shared" si="23"/>
        <v/>
      </c>
      <c r="H24" s="346" t="str">
        <f t="shared" si="23"/>
        <v/>
      </c>
      <c r="I24" s="346" t="str">
        <f t="shared" si="23"/>
        <v/>
      </c>
      <c r="J24" s="346" t="str">
        <f t="shared" si="23"/>
        <v/>
      </c>
      <c r="K24" s="346" t="str">
        <f t="shared" si="23"/>
        <v/>
      </c>
      <c r="L24" s="346" t="str">
        <f t="shared" si="24"/>
        <v/>
      </c>
      <c r="M24" s="346" t="str">
        <f t="shared" si="24"/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170</v>
      </c>
      <c r="E25" s="344" t="str">
        <f>IF(V25=0,"",V25)</f>
        <v/>
      </c>
      <c r="F25" s="344">
        <f>IF(W25=301,"",W25)</f>
        <v>171</v>
      </c>
      <c r="G25" s="344" t="str">
        <f>IF(X25=0,"",X25)</f>
        <v/>
      </c>
      <c r="H25" s="344">
        <f>IF(Y25=301,"",Y25)</f>
        <v>156</v>
      </c>
      <c r="I25" s="344" t="str">
        <f>IF(Z25=0,"",Z25)</f>
        <v/>
      </c>
      <c r="J25" s="344">
        <f>IF(AA25=301,"",AA25)</f>
        <v>148</v>
      </c>
      <c r="K25" s="344" t="str">
        <f>IF(AB25=0,"",AB25)</f>
        <v/>
      </c>
      <c r="L25" s="344">
        <f>IF(AC25=301,"",AC25)</f>
        <v>169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170</v>
      </c>
      <c r="V25" s="368"/>
      <c r="W25" s="367">
        <f>ABS(INDEX(W:W,MATCH(W22,$S:$S,0)+5)+INDEX(W:W,MATCH(W22,$S:$S,0)+6)+INDEX(W:W,MATCH(W22,$S:$S,0)+7))</f>
        <v>171</v>
      </c>
      <c r="X25" s="368"/>
      <c r="Y25" s="367">
        <f>ABS(INDEX(Y:Y,MATCH(Y22,$S:$S,0)+5)+INDEX(Y:Y,MATCH(Y22,$S:$S,0)+6)+INDEX(Y:Y,MATCH(Y22,$S:$S,0)+7))</f>
        <v>156</v>
      </c>
      <c r="Z25" s="368"/>
      <c r="AA25" s="367">
        <f>ABS(INDEX(AA:AA,MATCH(AA22,$S:$S,0)+5)+INDEX(AA:AA,MATCH(AA22,$S:$S,0)+6)+INDEX(AA:AA,MATCH(AA22,$S:$S,0)+7))</f>
        <v>148</v>
      </c>
      <c r="AB25" s="368"/>
      <c r="AC25" s="367">
        <f>ABS(INDEX(AC:AC,MATCH(AC22,$S:$S,0)+5)+INDEX(AC:AC,MATCH(AC22,$S:$S,0)+6)+INDEX(AC:AC,MATCH(AC22,$S:$S,0)+7))</f>
        <v>169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158</v>
      </c>
      <c r="E26" s="344" t="str">
        <f>IF(V26=0,"",V26)</f>
        <v/>
      </c>
      <c r="F26" s="344">
        <f>IF(W26=301,"",W26)</f>
        <v>207</v>
      </c>
      <c r="G26" s="344" t="str">
        <f>IF(X26=0,"",X26)</f>
        <v/>
      </c>
      <c r="H26" s="344">
        <f>IF(Y26=301,"",Y26)</f>
        <v>162</v>
      </c>
      <c r="I26" s="344" t="str">
        <f>IF(Z26=0,"",Z26)</f>
        <v/>
      </c>
      <c r="J26" s="344">
        <f>IF(AA26=301,"",AA26)</f>
        <v>169</v>
      </c>
      <c r="K26" s="344" t="str">
        <f>IF(AB26=0,"",AB26)</f>
        <v/>
      </c>
      <c r="L26" s="344">
        <f>IF(AC26=301,"",AC26)</f>
        <v>170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158</v>
      </c>
      <c r="V26" s="366"/>
      <c r="W26" s="365">
        <f>ABS(INDEX(W:W,MATCH(W22,$S:$S,0)+8)+INDEX(W:W,MATCH(W22,$S:$S,0)+9)+INDEX(W:W,MATCH(W22,$S:$S,0)+10))</f>
        <v>207</v>
      </c>
      <c r="X26" s="366"/>
      <c r="Y26" s="365">
        <f>ABS(INDEX(Y:Y,MATCH(Y22,$S:$S,0)+8)+INDEX(Y:Y,MATCH(Y22,$S:$S,0)+9)+INDEX(Y:Y,MATCH(Y22,$S:$S,0)+10))</f>
        <v>162</v>
      </c>
      <c r="Z26" s="366"/>
      <c r="AA26" s="365">
        <f>ABS(INDEX(AA:AA,MATCH(AA22,$S:$S,0)+8)+INDEX(AA:AA,MATCH(AA22,$S:$S,0)+9)+INDEX(AA:AA,MATCH(AA22,$S:$S,0)+10))</f>
        <v>169</v>
      </c>
      <c r="AB26" s="366"/>
      <c r="AC26" s="365">
        <f>ABS(INDEX(AC:AC,MATCH(AC22,$S:$S,0)+8)+INDEX(AC:AC,MATCH(AC22,$S:$S,0)+9)+INDEX(AC:AC,MATCH(AC22,$S:$S,0)+10))</f>
        <v>170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171</v>
      </c>
      <c r="E27" s="344" t="str">
        <f>IF(V27=0,"",V27)</f>
        <v/>
      </c>
      <c r="F27" s="344">
        <f>IF(W27=301,"",W27)</f>
        <v>174</v>
      </c>
      <c r="G27" s="344" t="str">
        <f>IF(X27=0,"",X27)</f>
        <v/>
      </c>
      <c r="H27" s="344">
        <f>IF(Y27=301,"",Y27)</f>
        <v>166</v>
      </c>
      <c r="I27" s="344" t="str">
        <f>IF(Z27=0,"",Z27)</f>
        <v/>
      </c>
      <c r="J27" s="344">
        <f>IF(AA27=301,"",AA27)</f>
        <v>192</v>
      </c>
      <c r="K27" s="344" t="str">
        <f>IF(AB27=0,"",AB27)</f>
        <v/>
      </c>
      <c r="L27" s="344">
        <f>IF(AC27=301,"",AC27)</f>
        <v>179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171</v>
      </c>
      <c r="V27" s="366"/>
      <c r="W27" s="365">
        <f>ABS(INDEX(W:W,MATCH(W22,$S:$S,0)+11)+INDEX(W:W,MATCH(W22,$S:$S,0)+12)+INDEX(W:W,MATCH(W22,$S:$S,0)+13))</f>
        <v>174</v>
      </c>
      <c r="X27" s="366"/>
      <c r="Y27" s="365">
        <f>ABS(INDEX(Y:Y,MATCH(Y22,$S:$S,0)+11)+INDEX(Y:Y,MATCH(Y22,$S:$S,0)+12)+INDEX(Y:Y,MATCH(Y22,$S:$S,0)+13))</f>
        <v>166</v>
      </c>
      <c r="Z27" s="366"/>
      <c r="AA27" s="365">
        <f>ABS(INDEX(AA:AA,MATCH(AA22,$S:$S,0)+11)+INDEX(AA:AA,MATCH(AA22,$S:$S,0)+12)+INDEX(AA:AA,MATCH(AA22,$S:$S,0)+13))</f>
        <v>192</v>
      </c>
      <c r="AB27" s="366"/>
      <c r="AC27" s="365">
        <f>ABS(INDEX(AC:AC,MATCH(AC22,$S:$S,0)+11)+INDEX(AC:AC,MATCH(AC22,$S:$S,0)+12)+INDEX(AC:AC,MATCH(AC22,$S:$S,0)+13))</f>
        <v>179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180</v>
      </c>
      <c r="E28" s="344" t="str">
        <f>IF(V28=0,"",V28)</f>
        <v/>
      </c>
      <c r="F28" s="344">
        <f>IF(W28=301,"",W28)</f>
        <v>183</v>
      </c>
      <c r="G28" s="344" t="str">
        <f>IF(X28=0,"",X28)</f>
        <v/>
      </c>
      <c r="H28" s="344">
        <f>IF(Y28=301,"",Y28)</f>
        <v>172</v>
      </c>
      <c r="I28" s="344" t="str">
        <f>IF(Z28=0,"",Z28)</f>
        <v/>
      </c>
      <c r="J28" s="344">
        <f>IF(AA28=301,"",AA28)</f>
        <v>188</v>
      </c>
      <c r="K28" s="344" t="str">
        <f>IF(AB28=0,"",AB28)</f>
        <v/>
      </c>
      <c r="L28" s="344">
        <f>IF(AC28=301,"",AC28)</f>
        <v>189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180</v>
      </c>
      <c r="V28" s="366"/>
      <c r="W28" s="365">
        <f>ABS(INDEX(W:W,MATCH(W22,$S:$S,0)+14)+INDEX(W:W,MATCH(W22,$S:$S,0)+15)+INDEX(W:W,MATCH(W22,$S:$S,0)+16))</f>
        <v>183</v>
      </c>
      <c r="X28" s="366"/>
      <c r="Y28" s="365">
        <f>ABS(INDEX(Y:Y,MATCH(Y22,$S:$S,0)+14)+INDEX(Y:Y,MATCH(Y22,$S:$S,0)+15)+INDEX(Y:Y,MATCH(Y22,$S:$S,0)+16))</f>
        <v>172</v>
      </c>
      <c r="Z28" s="366"/>
      <c r="AA28" s="365">
        <f>ABS(INDEX(AA:AA,MATCH(AA22,$S:$S,0)+14)+INDEX(AA:AA,MATCH(AA22,$S:$S,0)+15)+INDEX(AA:AA,MATCH(AA22,$S:$S,0)+16))</f>
        <v>188</v>
      </c>
      <c r="AB28" s="366"/>
      <c r="AC28" s="365">
        <f>ABS(INDEX(AC:AC,MATCH(AC22,$S:$S,0)+14)+INDEX(AC:AC,MATCH(AC22,$S:$S,0)+15)+INDEX(AC:AC,MATCH(AC22,$S:$S,0)+16))</f>
        <v>189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679</v>
      </c>
      <c r="E29" s="343" t="str">
        <f>IF(V29=0,"",V29)</f>
        <v/>
      </c>
      <c r="F29" s="343">
        <f>IF(W29=1505,"",W29)</f>
        <v>735</v>
      </c>
      <c r="G29" s="343" t="str">
        <f>IF(X29=0,"",X29)</f>
        <v/>
      </c>
      <c r="H29" s="343">
        <f>IF(Y29=1505,"",Y29)</f>
        <v>656</v>
      </c>
      <c r="I29" s="343" t="str">
        <f>IF(Z29=0,"",Z29)</f>
        <v/>
      </c>
      <c r="J29" s="343">
        <f>IF(AA29=1505,"",AA29)</f>
        <v>697</v>
      </c>
      <c r="K29" s="343" t="str">
        <f>IF(AB29=0,"",AB29)</f>
        <v/>
      </c>
      <c r="L29" s="343">
        <f>IF(AC29=1505,"",AC29)</f>
        <v>707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679</v>
      </c>
      <c r="V29" s="360"/>
      <c r="W29" s="359">
        <f>SUM(W25:W28)</f>
        <v>735</v>
      </c>
      <c r="X29" s="360"/>
      <c r="Y29" s="359">
        <f>SUM(Y25:Y28)</f>
        <v>656</v>
      </c>
      <c r="Z29" s="360"/>
      <c r="AA29" s="359">
        <f>SUM(AA25:AA28)</f>
        <v>697</v>
      </c>
      <c r="AB29" s="360"/>
      <c r="AC29" s="359">
        <f>SUM(AC25:AC28)</f>
        <v>707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 t="str">
        <f>AD31</f>
        <v>03.11.</v>
      </c>
      <c r="N31" s="376"/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Schlüssel!$AG$1</f>
        <v>03.11.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Regensburg Super Bowl</v>
      </c>
      <c r="F32" s="77"/>
      <c r="G32" s="77"/>
      <c r="H32" s="77"/>
      <c r="I32" s="77"/>
      <c r="J32" s="77"/>
      <c r="K32" s="77"/>
      <c r="L32" s="29" t="str">
        <f>AC32</f>
        <v>Spieltag:</v>
      </c>
      <c r="M32" s="86">
        <f>AD32</f>
        <v>2</v>
      </c>
      <c r="N32" s="28"/>
      <c r="R32" s="49"/>
      <c r="S32" s="50">
        <v>2</v>
      </c>
      <c r="U32" s="30" t="s">
        <v>1786</v>
      </c>
      <c r="V32" s="84" t="str">
        <f>Schlüssel!$W$2</f>
        <v>Regensburg Super Bowl</v>
      </c>
      <c r="X32" s="77"/>
      <c r="Y32" s="77"/>
      <c r="Z32" s="77"/>
      <c r="AA32" s="77"/>
      <c r="AB32" s="77"/>
      <c r="AC32" s="29" t="s">
        <v>1784</v>
      </c>
      <c r="AD32" s="34">
        <v>2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VLOOKUP(S32,Schlüssel!$A$5:$DZ$10,33)</f>
        <v>8</v>
      </c>
      <c r="W34" s="193" t="s">
        <v>10</v>
      </c>
      <c r="X34" s="191">
        <f>VLOOKUP(S32,Schlüssel!$A$5:$DZ$10,34)</f>
        <v>10</v>
      </c>
      <c r="Y34" s="193" t="s">
        <v>10</v>
      </c>
      <c r="Z34" s="191">
        <f>VLOOKUP(S32,Schlüssel!$A$5:$DZ$10,35)</f>
        <v>12</v>
      </c>
      <c r="AA34" s="193" t="s">
        <v>10</v>
      </c>
      <c r="AB34" s="191">
        <f>VLOOKUP(S32,Schlüssel!$A$5:$DZ$10,36)</f>
        <v>9</v>
      </c>
      <c r="AC34" s="193" t="s">
        <v>10</v>
      </c>
      <c r="AD34" s="192">
        <f>VLOOKUP(S32,Schlüssel!$A$5:$DZ$10,37)</f>
        <v>7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>Arnold, Nadine</v>
      </c>
      <c r="C37" s="18">
        <f>IF(T37=0,"",T37)</f>
        <v>25378</v>
      </c>
      <c r="D37" s="14">
        <f>IF(U37=0,"",U37)</f>
        <v>143</v>
      </c>
      <c r="E37" s="352">
        <f>IF(V37="","",V37)</f>
        <v>1</v>
      </c>
      <c r="F37" s="14">
        <f t="shared" ref="F37:F50" si="26">IF(W37=0,"",W37)</f>
        <v>171</v>
      </c>
      <c r="G37" s="352">
        <f>IF(X37="","",X37)</f>
        <v>0</v>
      </c>
      <c r="H37" s="14">
        <f t="shared" ref="H37:H50" si="27">IF(Y37=0,"",Y37)</f>
        <v>194</v>
      </c>
      <c r="I37" s="352">
        <f>IF(Z37="","",Z37)</f>
        <v>1</v>
      </c>
      <c r="J37" s="14">
        <f t="shared" ref="J37:J50" si="28">IF(AA37=0,"",AA37)</f>
        <v>170</v>
      </c>
      <c r="K37" s="352">
        <f>IF(AB37="","",AB37)</f>
        <v>1</v>
      </c>
      <c r="L37" s="14">
        <f t="shared" ref="L37:L50" si="29">IF(AC37=0,"",AC37)</f>
        <v>257</v>
      </c>
      <c r="M37" s="352">
        <f>IF(AD37="","",AD37)</f>
        <v>1</v>
      </c>
      <c r="N37" s="14">
        <f t="shared" ref="N37:N50" si="30">IF(AE37=0,"",AE37)</f>
        <v>935</v>
      </c>
      <c r="O37" s="352">
        <f>IF(AF37="","",AF37)</f>
        <v>4</v>
      </c>
      <c r="R37" s="355" t="s">
        <v>0</v>
      </c>
      <c r="S37" s="68" t="str">
        <f>IF(T37=0,"",VLOOKUP(T37,Starter!$A$1:$D$196,2,FALSE))</f>
        <v>Arnold, Nadine</v>
      </c>
      <c r="T37" s="175">
        <v>25378</v>
      </c>
      <c r="U37" s="183">
        <v>143</v>
      </c>
      <c r="V37" s="95">
        <f>IF(SUM(U37:U39)+U55=0,0,IF(ABS(SUM(U37:U39))=U55,0.5,IF(ABS(SUM(U37:U39))&gt;U55,1,0)))</f>
        <v>1</v>
      </c>
      <c r="W37" s="183">
        <v>171</v>
      </c>
      <c r="X37" s="95">
        <f>IF(SUM(W37:W39)+W55=0,0,IF(ABS(SUM(W37:W39))=W55,0.5,IF(ABS(SUM(W37:W39))&gt;W55,1,0)))</f>
        <v>0</v>
      </c>
      <c r="Y37" s="183">
        <v>194</v>
      </c>
      <c r="Z37" s="95">
        <f>IF(SUM(Y37:Y39)+Y55=0,0,IF(ABS(SUM(Y37:Y39))=Y55,0.5,IF(ABS(SUM(Y37:Y39))&gt;Y55,1,0)))</f>
        <v>1</v>
      </c>
      <c r="AA37" s="189">
        <v>170</v>
      </c>
      <c r="AB37" s="95">
        <f>IF(SUM(AA37:AA39)+AA55=0,0,IF(ABS(SUM(AA37:AA39))=AA55,0.5,IF(ABS(SUM(AA37:AA39))&gt;AA55,1,0)))</f>
        <v>1</v>
      </c>
      <c r="AC37" s="183">
        <v>257</v>
      </c>
      <c r="AD37" s="95">
        <f>IF(SUM(AC37:AC39)+AC55=0,0,IF(ABS(SUM(AC37:AC39))=AC55,0.5,IF(ABS(SUM(AC37:AC39))&gt;AC55,1,0)))</f>
        <v>1</v>
      </c>
      <c r="AE37" s="195">
        <f t="shared" ref="AE37:AE48" si="31">ABS(SUM(U37:U37))+ABS(SUM(W37:W37))+ABS(SUM(Y37:Y37))+ABS(SUM(AA37:AA37))+ABS(SUM(AC37:AC37))</f>
        <v>935</v>
      </c>
      <c r="AF37" s="180">
        <f>SUM(V37+X37+Z37+AB37+AD37)</f>
        <v>4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25378</v>
      </c>
      <c r="BE37" s="213">
        <f t="shared" ref="BE37:BE48" si="33">AE37</f>
        <v>935</v>
      </c>
      <c r="BF37" s="215">
        <f t="shared" ref="BF37:BF48" si="34">COUNT(BH37:BL37)</f>
        <v>5</v>
      </c>
      <c r="BG37" s="215">
        <f t="shared" ref="BG37:BG48" si="35">COUNTIF(BH37:BL37,"&gt;0")</f>
        <v>5</v>
      </c>
      <c r="BH37" s="215">
        <f t="shared" ref="BH37:BH48" si="36">IF(U37=0,"",U37)</f>
        <v>143</v>
      </c>
      <c r="BI37" s="215">
        <f t="shared" ref="BI37:BI48" si="37">IF(W37=0,"",W37)</f>
        <v>171</v>
      </c>
      <c r="BJ37" s="215">
        <f t="shared" ref="BJ37:BJ48" si="38">IF(Y37=0,"",Y37)</f>
        <v>194</v>
      </c>
      <c r="BK37" s="215">
        <f t="shared" ref="BK37:BK48" si="39">IF(AA37=0,"",AA37)</f>
        <v>170</v>
      </c>
      <c r="BL37" s="215">
        <f t="shared" ref="BL37:BL48" si="40">IF(AC37=0,"",AC37)</f>
        <v>257</v>
      </c>
      <c r="BM37" s="216"/>
      <c r="BN37" s="214"/>
      <c r="BO37" s="215">
        <f t="shared" ref="BO37:BO48" si="41">MAX(BH37:BL37)</f>
        <v>257</v>
      </c>
      <c r="BP37" s="215">
        <f t="shared" ref="BP37:BP48" si="42">IF(BO37&lt;MAX(BO:BO),0,BO37+ROW()/1000000000)</f>
        <v>257.00000003700001</v>
      </c>
      <c r="BQ37" s="215" t="str">
        <f>+S33</f>
        <v>Herzogenaurach 1</v>
      </c>
      <c r="BR37" s="214">
        <f t="shared" ref="BR37:BR48" si="43">RANK(BP37,BP:BP)</f>
        <v>1</v>
      </c>
      <c r="BS37" s="215">
        <f t="shared" ref="BS37:BS48" si="44">SUMIF(BH37:BL37,"&gt;0")</f>
        <v>935</v>
      </c>
      <c r="BT37" s="215">
        <f>IF(COUNTIF(BH37:BL37,"&gt;0")&lt;Spielorte!$A$23,0,BE37/Spielorte!$A$23)</f>
        <v>187</v>
      </c>
      <c r="BU37" s="215">
        <f t="shared" ref="BU37:BU48" si="45">IF(BT37&lt;MAX(BT:BT),0,BT37+ROW()/1000000000)</f>
        <v>0</v>
      </c>
      <c r="BV37" s="214">
        <f t="shared" ref="BV37:BV48" si="46">IF(BU37=0,0,RANK(BU37,BU:BU))</f>
        <v>0</v>
      </c>
    </row>
    <row r="38" spans="1:74" ht="17.100000000000001" customHeight="1" x14ac:dyDescent="0.2">
      <c r="A38" s="374"/>
      <c r="B38" s="19" t="str">
        <f t="shared" ref="B38:D50" si="47">IF(S38=0,"",S38)</f>
        <v/>
      </c>
      <c r="C38" s="20" t="str">
        <f t="shared" si="47"/>
        <v/>
      </c>
      <c r="D38" s="15" t="str">
        <f t="shared" si="47"/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 t="str">
        <f t="shared" si="28"/>
        <v/>
      </c>
      <c r="K38" s="353"/>
      <c r="L38" s="15" t="str">
        <f t="shared" si="29"/>
        <v/>
      </c>
      <c r="M38" s="353"/>
      <c r="N38" s="15" t="str">
        <f t="shared" si="30"/>
        <v/>
      </c>
      <c r="O38" s="353"/>
      <c r="R38" s="356"/>
      <c r="S38" s="68" t="str">
        <f>IF(T38=0,"",VLOOKUP(T38,Starter!$A$1:$D$196,2,FALSE))</f>
        <v/>
      </c>
      <c r="T38" s="176"/>
      <c r="U38" s="184"/>
      <c r="V38" s="96"/>
      <c r="W38" s="184"/>
      <c r="X38" s="96"/>
      <c r="Y38" s="184"/>
      <c r="Z38" s="96"/>
      <c r="AA38" s="184"/>
      <c r="AB38" s="96"/>
      <c r="AC38" s="184"/>
      <c r="AD38" s="96"/>
      <c r="AE38" s="196">
        <f t="shared" si="31"/>
        <v>0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0</v>
      </c>
      <c r="BE38" s="213">
        <f t="shared" si="33"/>
        <v>0</v>
      </c>
      <c r="BF38" s="215">
        <f t="shared" si="34"/>
        <v>0</v>
      </c>
      <c r="BG38" s="215">
        <f t="shared" si="35"/>
        <v>0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 t="str">
        <f t="shared" si="39"/>
        <v/>
      </c>
      <c r="BL38" s="215" t="str">
        <f t="shared" si="40"/>
        <v/>
      </c>
      <c r="BM38" s="216"/>
      <c r="BN38" s="214"/>
      <c r="BO38" s="215">
        <f t="shared" si="41"/>
        <v>0</v>
      </c>
      <c r="BP38" s="215">
        <f t="shared" si="42"/>
        <v>0</v>
      </c>
      <c r="BQ38" s="215" t="str">
        <f t="shared" ref="BQ38:BQ48" si="48">+BQ37</f>
        <v>Herzogenaurach 1</v>
      </c>
      <c r="BR38" s="214">
        <f t="shared" si="43"/>
        <v>2</v>
      </c>
      <c r="BS38" s="215">
        <f t="shared" si="44"/>
        <v>0</v>
      </c>
      <c r="BT38" s="215">
        <f>IF(COUNTIF(BH38:BL38,"&gt;0")&lt;Spielorte!$A$23,0,BE38/Spielorte!$A$23)</f>
        <v>0</v>
      </c>
      <c r="BU38" s="215">
        <f t="shared" si="45"/>
        <v>0</v>
      </c>
      <c r="BV38" s="214">
        <f t="shared" si="46"/>
        <v>0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7"/>
        <v/>
      </c>
      <c r="D39" s="9" t="str">
        <f t="shared" si="47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0</v>
      </c>
      <c r="BQ39" s="215" t="str">
        <f t="shared" si="48"/>
        <v>Herzogenaurach 1</v>
      </c>
      <c r="BR39" s="214">
        <f t="shared" si="43"/>
        <v>2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0</v>
      </c>
      <c r="BV39" s="214">
        <f t="shared" si="46"/>
        <v>0</v>
      </c>
    </row>
    <row r="40" spans="1:74" ht="17.100000000000001" customHeight="1" x14ac:dyDescent="0.2">
      <c r="A40" s="373" t="s">
        <v>2</v>
      </c>
      <c r="B40" s="17" t="str">
        <f t="shared" si="47"/>
        <v>Inkermann, Matthias</v>
      </c>
      <c r="C40" s="18">
        <f t="shared" si="47"/>
        <v>25760</v>
      </c>
      <c r="D40" s="14">
        <f t="shared" si="47"/>
        <v>192</v>
      </c>
      <c r="E40" s="352">
        <f>IF(V40="","",V40)</f>
        <v>1</v>
      </c>
      <c r="F40" s="14">
        <f t="shared" si="26"/>
        <v>207</v>
      </c>
      <c r="G40" s="352">
        <f>IF(X40="","",X40)</f>
        <v>1</v>
      </c>
      <c r="H40" s="14">
        <f t="shared" si="27"/>
        <v>176</v>
      </c>
      <c r="I40" s="352">
        <f>IF(Z40="","",Z40)</f>
        <v>1</v>
      </c>
      <c r="J40" s="14">
        <f t="shared" si="28"/>
        <v>181</v>
      </c>
      <c r="K40" s="352">
        <f>IF(AB40="","",AB40)</f>
        <v>0</v>
      </c>
      <c r="L40" s="14">
        <f t="shared" si="29"/>
        <v>193</v>
      </c>
      <c r="M40" s="352">
        <f>IF(AD40="","",AD40)</f>
        <v>1</v>
      </c>
      <c r="N40" s="14">
        <f t="shared" si="30"/>
        <v>949</v>
      </c>
      <c r="O40" s="352">
        <f>IF(AF40="","",AF40)</f>
        <v>4</v>
      </c>
      <c r="R40" s="355" t="s">
        <v>2</v>
      </c>
      <c r="S40" s="68" t="str">
        <f>IF(T40=0,"",VLOOKUP(T40,Starter!$A$1:$D$196,2,FALSE))</f>
        <v>Inkermann, Matthias</v>
      </c>
      <c r="T40" s="178">
        <v>25760</v>
      </c>
      <c r="U40" s="186">
        <v>192</v>
      </c>
      <c r="V40" s="95">
        <f>IF(SUM(U40:U42)+U56=0,0,IF(ABS(SUM(U40:U42))=U56,0.5,IF(ABS(SUM(U40:U42))&gt;U56,1,0)))</f>
        <v>1</v>
      </c>
      <c r="W40" s="186">
        <v>207</v>
      </c>
      <c r="X40" s="95">
        <f>IF(SUM(W40:W42)+W56=0,0,IF(ABS(SUM(W40:W42))=W56,0.5,IF(ABS(SUM(W40:W42))&gt;W56,1,0)))</f>
        <v>1</v>
      </c>
      <c r="Y40" s="186">
        <v>176</v>
      </c>
      <c r="Z40" s="95">
        <f>IF(SUM(Y40:Y42)+Y56=0,0,IF(ABS(SUM(Y40:Y42))=Y56,0.5,IF(ABS(SUM(Y40:Y42))&gt;Y56,1,0)))</f>
        <v>1</v>
      </c>
      <c r="AA40" s="186">
        <v>181</v>
      </c>
      <c r="AB40" s="95">
        <f>IF(SUM(AA40:AA42)+AA56=0,0,IF(ABS(SUM(AA40:AA42))=AA56,0.5,IF(ABS(SUM(AA40:AA42))&gt;AA56,1,0)))</f>
        <v>0</v>
      </c>
      <c r="AC40" s="186">
        <v>193</v>
      </c>
      <c r="AD40" s="95">
        <f>IF(SUM(AC40:AC42)+AC56=0,0,IF(ABS(SUM(AC40:AC42))=AC56,0.5,IF(ABS(SUM(AC40:AC42))&gt;AC56,1,0)))</f>
        <v>1</v>
      </c>
      <c r="AE40" s="195">
        <f t="shared" si="31"/>
        <v>949</v>
      </c>
      <c r="AF40" s="180">
        <f>SUM(V40+X40+Z40+AB40+AD40)</f>
        <v>4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25760</v>
      </c>
      <c r="BE40" s="213">
        <f t="shared" si="33"/>
        <v>949</v>
      </c>
      <c r="BF40" s="215">
        <f t="shared" si="34"/>
        <v>5</v>
      </c>
      <c r="BG40" s="215">
        <f t="shared" si="35"/>
        <v>5</v>
      </c>
      <c r="BH40" s="215">
        <f t="shared" si="36"/>
        <v>192</v>
      </c>
      <c r="BI40" s="215">
        <f t="shared" si="37"/>
        <v>207</v>
      </c>
      <c r="BJ40" s="215">
        <f t="shared" si="38"/>
        <v>176</v>
      </c>
      <c r="BK40" s="215">
        <f t="shared" si="39"/>
        <v>181</v>
      </c>
      <c r="BL40" s="215">
        <f t="shared" si="40"/>
        <v>193</v>
      </c>
      <c r="BM40" s="216"/>
      <c r="BN40" s="214"/>
      <c r="BO40" s="215">
        <f t="shared" si="41"/>
        <v>207</v>
      </c>
      <c r="BP40" s="215">
        <f t="shared" si="42"/>
        <v>0</v>
      </c>
      <c r="BQ40" s="215" t="str">
        <f t="shared" si="48"/>
        <v>Herzogenaurach 1</v>
      </c>
      <c r="BR40" s="214">
        <f t="shared" si="43"/>
        <v>2</v>
      </c>
      <c r="BS40" s="215">
        <f t="shared" si="44"/>
        <v>949</v>
      </c>
      <c r="BT40" s="215">
        <f>IF(COUNTIF(BH40:BL40,"&gt;0")&lt;Spielorte!$A$23,0,BE40/Spielorte!$A$23)</f>
        <v>189.8</v>
      </c>
      <c r="BU40" s="215">
        <f t="shared" si="45"/>
        <v>0</v>
      </c>
      <c r="BV40" s="214">
        <f t="shared" si="46"/>
        <v>0</v>
      </c>
    </row>
    <row r="41" spans="1:74" ht="17.100000000000001" customHeight="1" x14ac:dyDescent="0.2">
      <c r="A41" s="374"/>
      <c r="B41" s="19" t="str">
        <f t="shared" si="47"/>
        <v/>
      </c>
      <c r="C41" s="20" t="str">
        <f t="shared" si="47"/>
        <v/>
      </c>
      <c r="D41" s="15" t="str">
        <f t="shared" si="47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 t="str">
        <f t="shared" si="28"/>
        <v/>
      </c>
      <c r="K41" s="353"/>
      <c r="L41" s="15" t="str">
        <f t="shared" si="29"/>
        <v/>
      </c>
      <c r="M41" s="353"/>
      <c r="N41" s="15" t="str">
        <f t="shared" si="30"/>
        <v/>
      </c>
      <c r="O41" s="353"/>
      <c r="R41" s="356"/>
      <c r="S41" s="68" t="str">
        <f>IF(T41=0,"",VLOOKUP(T41,Starter!$A$1:$D$196,2,FALSE))</f>
        <v/>
      </c>
      <c r="T41" s="176"/>
      <c r="U41" s="184"/>
      <c r="V41" s="96"/>
      <c r="W41" s="184"/>
      <c r="X41" s="96"/>
      <c r="Y41" s="184"/>
      <c r="Z41" s="96"/>
      <c r="AA41" s="184"/>
      <c r="AB41" s="96"/>
      <c r="AC41" s="184"/>
      <c r="AD41" s="96"/>
      <c r="AE41" s="196">
        <f t="shared" si="31"/>
        <v>0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0</v>
      </c>
      <c r="BE41" s="213">
        <f t="shared" si="33"/>
        <v>0</v>
      </c>
      <c r="BF41" s="215">
        <f t="shared" si="34"/>
        <v>0</v>
      </c>
      <c r="BG41" s="215">
        <f t="shared" si="35"/>
        <v>0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 t="str">
        <f t="shared" si="39"/>
        <v/>
      </c>
      <c r="BL41" s="215" t="str">
        <f t="shared" si="40"/>
        <v/>
      </c>
      <c r="BM41" s="216"/>
      <c r="BN41" s="214"/>
      <c r="BO41" s="215">
        <f t="shared" si="41"/>
        <v>0</v>
      </c>
      <c r="BP41" s="215">
        <f t="shared" si="42"/>
        <v>0</v>
      </c>
      <c r="BQ41" s="215" t="str">
        <f t="shared" si="48"/>
        <v>Herzogenaurach 1</v>
      </c>
      <c r="BR41" s="214">
        <f t="shared" si="43"/>
        <v>2</v>
      </c>
      <c r="BS41" s="215">
        <f t="shared" si="44"/>
        <v>0</v>
      </c>
      <c r="BT41" s="215">
        <f>IF(COUNTIF(BH41:BL41,"&gt;0")&lt;Spielorte!$A$23,0,BE41/Spielorte!$A$23)</f>
        <v>0</v>
      </c>
      <c r="BU41" s="215">
        <f t="shared" si="45"/>
        <v>0</v>
      </c>
      <c r="BV41" s="214">
        <f t="shared" si="46"/>
        <v>0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7"/>
        <v/>
      </c>
      <c r="D42" s="9" t="str">
        <f t="shared" si="47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0</v>
      </c>
      <c r="BQ42" s="215" t="str">
        <f t="shared" si="48"/>
        <v>Herzogenaurach 1</v>
      </c>
      <c r="BR42" s="214">
        <f t="shared" si="43"/>
        <v>2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0</v>
      </c>
      <c r="BV42" s="214">
        <f t="shared" si="46"/>
        <v>0</v>
      </c>
    </row>
    <row r="43" spans="1:74" ht="17.100000000000001" customHeight="1" x14ac:dyDescent="0.2">
      <c r="A43" s="373" t="s">
        <v>3</v>
      </c>
      <c r="B43" s="17" t="str">
        <f t="shared" si="47"/>
        <v>Meier, Peter</v>
      </c>
      <c r="C43" s="18">
        <f t="shared" si="47"/>
        <v>7286</v>
      </c>
      <c r="D43" s="14">
        <f t="shared" si="47"/>
        <v>193</v>
      </c>
      <c r="E43" s="352">
        <f>IF(V43="","",V43)</f>
        <v>1</v>
      </c>
      <c r="F43" s="14">
        <f t="shared" si="26"/>
        <v>174</v>
      </c>
      <c r="G43" s="352">
        <f>IF(X43="","",X43)</f>
        <v>0</v>
      </c>
      <c r="H43" s="14">
        <f t="shared" si="27"/>
        <v>179</v>
      </c>
      <c r="I43" s="352">
        <f>IF(Z43="","",Z43)</f>
        <v>1</v>
      </c>
      <c r="J43" s="14">
        <f t="shared" si="28"/>
        <v>188</v>
      </c>
      <c r="K43" s="352">
        <f>IF(AB43="","",AB43)</f>
        <v>0</v>
      </c>
      <c r="L43" s="14">
        <f t="shared" si="29"/>
        <v>172</v>
      </c>
      <c r="M43" s="352">
        <f>IF(AD43="","",AD43)</f>
        <v>1</v>
      </c>
      <c r="N43" s="14">
        <f t="shared" si="30"/>
        <v>906</v>
      </c>
      <c r="O43" s="352">
        <f>IF(AF43="","",AF43)</f>
        <v>3</v>
      </c>
      <c r="R43" s="355" t="s">
        <v>3</v>
      </c>
      <c r="S43" s="68" t="str">
        <f>IF(T43=0,"",VLOOKUP(T43,Starter!$A$1:$D$196,2,FALSE))</f>
        <v>Meier, Peter</v>
      </c>
      <c r="T43" s="178">
        <v>7286</v>
      </c>
      <c r="U43" s="186">
        <v>193</v>
      </c>
      <c r="V43" s="95">
        <f>IF(SUM(U43:U45)+U57=0,0,IF(ABS(SUM(U43:U45))=U57,0.5,IF(ABS(SUM(U43:U45))&gt;U57,1,0)))</f>
        <v>1</v>
      </c>
      <c r="W43" s="186">
        <v>174</v>
      </c>
      <c r="X43" s="95">
        <f>IF(SUM(W43:W45)+W57=0,0,IF(ABS(SUM(W43:W45))=W57,0.5,IF(ABS(SUM(W43:W45))&gt;W57,1,0)))</f>
        <v>0</v>
      </c>
      <c r="Y43" s="186">
        <v>179</v>
      </c>
      <c r="Z43" s="95">
        <f>IF(SUM(Y43:Y45)+Y57=0,0,IF(ABS(SUM(Y43:Y45))=Y57,0.5,IF(ABS(SUM(Y43:Y45))&gt;Y57,1,0)))</f>
        <v>1</v>
      </c>
      <c r="AA43" s="186">
        <v>188</v>
      </c>
      <c r="AB43" s="95">
        <f>IF(SUM(AA43:AA45)+AA57=0,0,IF(ABS(SUM(AA43:AA45))=AA57,0.5,IF(ABS(SUM(AA43:AA45))&gt;AA57,1,0)))</f>
        <v>0</v>
      </c>
      <c r="AC43" s="186">
        <v>172</v>
      </c>
      <c r="AD43" s="95">
        <f>IF(SUM(AC43:AC45)+AC57=0,0,IF(ABS(SUM(AC43:AC45))=AC57,0.5,IF(ABS(SUM(AC43:AC45))&gt;AC57,1,0)))</f>
        <v>1</v>
      </c>
      <c r="AE43" s="195">
        <f t="shared" si="31"/>
        <v>906</v>
      </c>
      <c r="AF43" s="180">
        <f>SUM(V43+X43+Z43+AB43+AD43)</f>
        <v>3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7286</v>
      </c>
      <c r="BE43" s="213">
        <f t="shared" si="33"/>
        <v>906</v>
      </c>
      <c r="BF43" s="215">
        <f t="shared" si="34"/>
        <v>5</v>
      </c>
      <c r="BG43" s="215">
        <f t="shared" si="35"/>
        <v>5</v>
      </c>
      <c r="BH43" s="215">
        <f t="shared" si="36"/>
        <v>193</v>
      </c>
      <c r="BI43" s="215">
        <f t="shared" si="37"/>
        <v>174</v>
      </c>
      <c r="BJ43" s="215">
        <f t="shared" si="38"/>
        <v>179</v>
      </c>
      <c r="BK43" s="215">
        <f t="shared" si="39"/>
        <v>188</v>
      </c>
      <c r="BL43" s="215">
        <f t="shared" si="40"/>
        <v>172</v>
      </c>
      <c r="BM43" s="216"/>
      <c r="BN43" s="214"/>
      <c r="BO43" s="215">
        <f t="shared" si="41"/>
        <v>193</v>
      </c>
      <c r="BP43" s="215">
        <f t="shared" si="42"/>
        <v>0</v>
      </c>
      <c r="BQ43" s="215" t="str">
        <f t="shared" si="48"/>
        <v>Herzogenaurach 1</v>
      </c>
      <c r="BR43" s="214">
        <f t="shared" si="43"/>
        <v>2</v>
      </c>
      <c r="BS43" s="215">
        <f t="shared" si="44"/>
        <v>906</v>
      </c>
      <c r="BT43" s="215">
        <f>IF(COUNTIF(BH43:BL43,"&gt;0")&lt;Spielorte!$A$23,0,BE43/Spielorte!$A$23)</f>
        <v>181.2</v>
      </c>
      <c r="BU43" s="215">
        <f t="shared" si="45"/>
        <v>0</v>
      </c>
      <c r="BV43" s="214">
        <f t="shared" si="46"/>
        <v>0</v>
      </c>
    </row>
    <row r="44" spans="1:74" ht="17.100000000000001" customHeight="1" x14ac:dyDescent="0.2">
      <c r="A44" s="374"/>
      <c r="B44" s="19" t="str">
        <f t="shared" si="47"/>
        <v/>
      </c>
      <c r="C44" s="20" t="str">
        <f t="shared" si="47"/>
        <v/>
      </c>
      <c r="D44" s="15" t="str">
        <f t="shared" si="47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 t="str">
        <f t="shared" si="28"/>
        <v/>
      </c>
      <c r="K44" s="353"/>
      <c r="L44" s="15" t="str">
        <f t="shared" si="29"/>
        <v/>
      </c>
      <c r="M44" s="353"/>
      <c r="N44" s="15" t="str">
        <f t="shared" si="30"/>
        <v/>
      </c>
      <c r="O44" s="353"/>
      <c r="R44" s="356"/>
      <c r="S44" s="68" t="str">
        <f>IF(T44=0,"",VLOOKUP(T44,Starter!$A$1:$D$196,2,FALSE))</f>
        <v/>
      </c>
      <c r="T44" s="176"/>
      <c r="U44" s="184"/>
      <c r="V44" s="96"/>
      <c r="W44" s="184"/>
      <c r="X44" s="96"/>
      <c r="Y44" s="184"/>
      <c r="Z44" s="96"/>
      <c r="AA44" s="184"/>
      <c r="AB44" s="96"/>
      <c r="AC44" s="184"/>
      <c r="AD44" s="96"/>
      <c r="AE44" s="196">
        <f t="shared" si="31"/>
        <v>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0</v>
      </c>
      <c r="BE44" s="213">
        <f t="shared" si="33"/>
        <v>0</v>
      </c>
      <c r="BF44" s="215">
        <f t="shared" si="34"/>
        <v>0</v>
      </c>
      <c r="BG44" s="215">
        <f t="shared" si="35"/>
        <v>0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 t="str">
        <f t="shared" si="39"/>
        <v/>
      </c>
      <c r="BL44" s="215" t="str">
        <f t="shared" si="40"/>
        <v/>
      </c>
      <c r="BM44" s="216"/>
      <c r="BN44" s="214"/>
      <c r="BO44" s="215">
        <f t="shared" si="41"/>
        <v>0</v>
      </c>
      <c r="BP44" s="215">
        <f t="shared" si="42"/>
        <v>0</v>
      </c>
      <c r="BQ44" s="215" t="str">
        <f t="shared" si="48"/>
        <v>Herzogenaurach 1</v>
      </c>
      <c r="BR44" s="214">
        <f t="shared" si="43"/>
        <v>2</v>
      </c>
      <c r="BS44" s="215">
        <f t="shared" si="44"/>
        <v>0</v>
      </c>
      <c r="BT44" s="215">
        <f>IF(COUNTIF(BH44:BL44,"&gt;0")&lt;Spielorte!$A$23,0,BE44/Spielorte!$A$23)</f>
        <v>0</v>
      </c>
      <c r="BU44" s="215">
        <f t="shared" si="45"/>
        <v>0</v>
      </c>
      <c r="BV44" s="214">
        <f t="shared" si="46"/>
        <v>0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7"/>
        <v/>
      </c>
      <c r="D45" s="9" t="str">
        <f t="shared" si="47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0</v>
      </c>
      <c r="BQ45" s="215" t="str">
        <f t="shared" si="48"/>
        <v>Herzogenaurach 1</v>
      </c>
      <c r="BR45" s="214">
        <f t="shared" si="43"/>
        <v>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0</v>
      </c>
      <c r="BV45" s="214">
        <f t="shared" si="46"/>
        <v>0</v>
      </c>
    </row>
    <row r="46" spans="1:74" ht="17.100000000000001" customHeight="1" x14ac:dyDescent="0.2">
      <c r="A46" s="373" t="s">
        <v>11</v>
      </c>
      <c r="B46" s="17" t="str">
        <f>IF(S46=0,"",S46)</f>
        <v>Pichl, Jürgen</v>
      </c>
      <c r="C46" s="18">
        <f t="shared" si="47"/>
        <v>7283</v>
      </c>
      <c r="D46" s="14">
        <f t="shared" si="47"/>
        <v>166</v>
      </c>
      <c r="E46" s="352">
        <f>IF(V46="","",V46)</f>
        <v>0</v>
      </c>
      <c r="F46" s="14">
        <f t="shared" si="26"/>
        <v>183</v>
      </c>
      <c r="G46" s="352">
        <f>IF(X46="","",X46)</f>
        <v>1</v>
      </c>
      <c r="H46" s="14">
        <f t="shared" si="27"/>
        <v>136</v>
      </c>
      <c r="I46" s="352">
        <f>IF(Z46="","",Z46)</f>
        <v>0</v>
      </c>
      <c r="J46" s="14" t="str">
        <f t="shared" si="28"/>
        <v/>
      </c>
      <c r="K46" s="352">
        <f>IF(AB46="","",AB46)</f>
        <v>0</v>
      </c>
      <c r="L46" s="14" t="str">
        <f t="shared" si="29"/>
        <v/>
      </c>
      <c r="M46" s="352">
        <f>IF(AD46="","",AD46)</f>
        <v>1</v>
      </c>
      <c r="N46" s="14">
        <f t="shared" si="30"/>
        <v>485</v>
      </c>
      <c r="O46" s="352">
        <f>IF(AF46="","",AF46)</f>
        <v>2</v>
      </c>
      <c r="R46" s="355" t="s">
        <v>11</v>
      </c>
      <c r="S46" s="68" t="str">
        <f>IF(T46=0,"",VLOOKUP(T46,Starter!$A$1:$D$196,2,FALSE))</f>
        <v>Pichl, Jürgen</v>
      </c>
      <c r="T46" s="178">
        <v>7283</v>
      </c>
      <c r="U46" s="186">
        <v>166</v>
      </c>
      <c r="V46" s="95">
        <f>IF(SUM(U46:U48)+U58=0,0,IF(ABS(SUM(U46:U48))=U58,0.5,IF(ABS(SUM(U46:U48))&gt;U58,1,0)))</f>
        <v>0</v>
      </c>
      <c r="W46" s="186">
        <v>183</v>
      </c>
      <c r="X46" s="95">
        <f>IF(SUM(W46:W48)+W58=0,0,IF(ABS(SUM(W46:W48))=W58,0.5,IF(ABS(SUM(W46:W48))&gt;W58,1,0)))</f>
        <v>1</v>
      </c>
      <c r="Y46" s="186">
        <v>136</v>
      </c>
      <c r="Z46" s="95">
        <f>IF(SUM(Y46:Y48)+Y58=0,0,IF(ABS(SUM(Y46:Y48))=Y58,0.5,IF(ABS(SUM(Y46:Y48))&gt;Y58,1,0)))</f>
        <v>0</v>
      </c>
      <c r="AA46" s="186"/>
      <c r="AB46" s="95">
        <f>IF(SUM(AA46:AA48)+AA58=0,0,IF(ABS(SUM(AA46:AA48))=AA58,0.5,IF(ABS(SUM(AA46:AA48))&gt;AA58,1,0)))</f>
        <v>0</v>
      </c>
      <c r="AC46" s="186"/>
      <c r="AD46" s="95">
        <f>IF(SUM(AC46:AC48)+AC58=0,0,IF(ABS(SUM(AC46:AC48))=AC58,0.5,IF(ABS(SUM(AC46:AC48))&gt;AC58,1,0)))</f>
        <v>1</v>
      </c>
      <c r="AE46" s="195">
        <f t="shared" si="31"/>
        <v>485</v>
      </c>
      <c r="AF46" s="180">
        <f>SUM(V46+X46+Z46+AB46+AD46)</f>
        <v>2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7283</v>
      </c>
      <c r="BE46" s="213">
        <f t="shared" si="33"/>
        <v>485</v>
      </c>
      <c r="BF46" s="215">
        <f t="shared" si="34"/>
        <v>3</v>
      </c>
      <c r="BG46" s="215">
        <f t="shared" si="35"/>
        <v>3</v>
      </c>
      <c r="BH46" s="215">
        <f t="shared" si="36"/>
        <v>166</v>
      </c>
      <c r="BI46" s="215">
        <f t="shared" si="37"/>
        <v>183</v>
      </c>
      <c r="BJ46" s="215">
        <f t="shared" si="38"/>
        <v>136</v>
      </c>
      <c r="BK46" s="215" t="str">
        <f t="shared" si="39"/>
        <v/>
      </c>
      <c r="BL46" s="215" t="str">
        <f t="shared" si="40"/>
        <v/>
      </c>
      <c r="BM46" s="216"/>
      <c r="BN46" s="214"/>
      <c r="BO46" s="215">
        <f t="shared" si="41"/>
        <v>183</v>
      </c>
      <c r="BP46" s="215">
        <f t="shared" si="42"/>
        <v>0</v>
      </c>
      <c r="BQ46" s="215" t="str">
        <f t="shared" si="48"/>
        <v>Herzogenaurach 1</v>
      </c>
      <c r="BR46" s="214">
        <f t="shared" si="43"/>
        <v>2</v>
      </c>
      <c r="BS46" s="215">
        <f t="shared" si="44"/>
        <v>485</v>
      </c>
      <c r="BT46" s="215">
        <f>IF(COUNTIF(BH46:BL46,"&gt;0")&lt;Spielorte!$A$23,0,BE46/Spielorte!$A$23)</f>
        <v>0</v>
      </c>
      <c r="BU46" s="215">
        <f t="shared" si="45"/>
        <v>0</v>
      </c>
      <c r="BV46" s="214">
        <f t="shared" si="46"/>
        <v>0</v>
      </c>
    </row>
    <row r="47" spans="1:74" ht="17.100000000000001" customHeight="1" x14ac:dyDescent="0.2">
      <c r="A47" s="374"/>
      <c r="B47" s="19" t="str">
        <f>IF(S47=0,"",S47)</f>
        <v>Hertel, Jürgen</v>
      </c>
      <c r="C47" s="20">
        <f t="shared" si="47"/>
        <v>16897</v>
      </c>
      <c r="D47" s="15" t="str">
        <f t="shared" si="47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>
        <f t="shared" si="28"/>
        <v>136</v>
      </c>
      <c r="K47" s="353"/>
      <c r="L47" s="15">
        <f t="shared" si="29"/>
        <v>169</v>
      </c>
      <c r="M47" s="353"/>
      <c r="N47" s="15">
        <f t="shared" si="30"/>
        <v>305</v>
      </c>
      <c r="O47" s="353"/>
      <c r="R47" s="356"/>
      <c r="S47" s="68" t="str">
        <f>IF(T47=0,"",VLOOKUP(T47,Starter!$A$1:$D$196,2,FALSE))</f>
        <v>Hertel, Jürgen</v>
      </c>
      <c r="T47" s="176">
        <v>16897</v>
      </c>
      <c r="U47" s="184"/>
      <c r="V47" s="96"/>
      <c r="W47" s="184"/>
      <c r="X47" s="96"/>
      <c r="Y47" s="184"/>
      <c r="Z47" s="96"/>
      <c r="AA47" s="184">
        <v>136</v>
      </c>
      <c r="AB47" s="96"/>
      <c r="AC47" s="184">
        <v>169</v>
      </c>
      <c r="AD47" s="96"/>
      <c r="AE47" s="196">
        <f t="shared" si="31"/>
        <v>305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16897</v>
      </c>
      <c r="BE47" s="213">
        <f t="shared" si="33"/>
        <v>305</v>
      </c>
      <c r="BF47" s="215">
        <f t="shared" si="34"/>
        <v>2</v>
      </c>
      <c r="BG47" s="215">
        <f t="shared" si="35"/>
        <v>2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>
        <f t="shared" si="39"/>
        <v>136</v>
      </c>
      <c r="BL47" s="215">
        <f t="shared" si="40"/>
        <v>169</v>
      </c>
      <c r="BM47" s="216"/>
      <c r="BN47" s="214"/>
      <c r="BO47" s="215">
        <f t="shared" si="41"/>
        <v>169</v>
      </c>
      <c r="BP47" s="215">
        <f t="shared" si="42"/>
        <v>0</v>
      </c>
      <c r="BQ47" s="215" t="str">
        <f t="shared" si="48"/>
        <v>Herzogenaurach 1</v>
      </c>
      <c r="BR47" s="214">
        <f t="shared" si="43"/>
        <v>2</v>
      </c>
      <c r="BS47" s="215">
        <f t="shared" si="44"/>
        <v>305</v>
      </c>
      <c r="BT47" s="215">
        <f>IF(COUNTIF(BH47:BL47,"&gt;0")&lt;Spielorte!$A$23,0,BE47/Spielorte!$A$23)</f>
        <v>0</v>
      </c>
      <c r="BU47" s="215">
        <f t="shared" si="45"/>
        <v>0</v>
      </c>
      <c r="BV47" s="214">
        <f t="shared" si="46"/>
        <v>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7"/>
        <v/>
      </c>
      <c r="D48" s="9" t="str">
        <f t="shared" si="47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0</v>
      </c>
      <c r="BQ48" s="215" t="str">
        <f t="shared" si="48"/>
        <v>Herzogenaurach 1</v>
      </c>
      <c r="BR48" s="214">
        <f t="shared" si="43"/>
        <v>2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0</v>
      </c>
      <c r="BV48" s="214">
        <f t="shared" si="46"/>
        <v>0</v>
      </c>
    </row>
    <row r="49" spans="1:74" ht="27.75" customHeight="1" thickBot="1" x14ac:dyDescent="0.25">
      <c r="B49" s="11" t="str">
        <f>IF(S49=0,"",S49)</f>
        <v>Gesamt</v>
      </c>
      <c r="C49" s="26" t="str">
        <f t="shared" si="47"/>
        <v/>
      </c>
      <c r="D49" s="16">
        <f t="shared" si="47"/>
        <v>694</v>
      </c>
      <c r="E49" s="12">
        <f>IF(V49="","",V49)</f>
        <v>0</v>
      </c>
      <c r="F49" s="16">
        <f t="shared" si="26"/>
        <v>735</v>
      </c>
      <c r="G49" s="12">
        <f>IF(X49="","",X49)</f>
        <v>0</v>
      </c>
      <c r="H49" s="16">
        <f t="shared" si="27"/>
        <v>685</v>
      </c>
      <c r="I49" s="12">
        <f>IF(Z49="","",Z49)</f>
        <v>2</v>
      </c>
      <c r="J49" s="16">
        <f t="shared" si="28"/>
        <v>675</v>
      </c>
      <c r="K49" s="12">
        <f>IF(AB49="","",AB49)</f>
        <v>0</v>
      </c>
      <c r="L49" s="16">
        <f t="shared" si="29"/>
        <v>791</v>
      </c>
      <c r="M49" s="12">
        <f>IF(AD49="","",AD49)</f>
        <v>2</v>
      </c>
      <c r="N49" s="16">
        <f t="shared" si="30"/>
        <v>3580</v>
      </c>
      <c r="O49" s="12">
        <f>IF(AF49="","",AF49)</f>
        <v>4</v>
      </c>
      <c r="S49" s="11" t="s">
        <v>1791</v>
      </c>
      <c r="T49" s="71"/>
      <c r="U49" s="188">
        <f>ABS(SUM(U37:U39))+ABS(SUM(U40:U42))+ABS(SUM(U43:U45))+ABS(SUM(U46:U48))</f>
        <v>694</v>
      </c>
      <c r="V49" s="98">
        <f>IF(U49+U59=0,0,IF(U49=U59,1,IF(U49&gt;U59,2,0)))</f>
        <v>0</v>
      </c>
      <c r="W49" s="188">
        <f>ABS(SUM(W37:W39))+ABS(SUM(W40:W42))+ABS(SUM(W43:W45))+ABS(SUM(W46:W48))</f>
        <v>735</v>
      </c>
      <c r="X49" s="98">
        <f>IF(W49+W59=0,0,IF(W49=W59,1,IF(W49&gt;W59,2,0)))</f>
        <v>0</v>
      </c>
      <c r="Y49" s="188">
        <f>ABS(SUM(Y37:Y39))+ABS(SUM(Y40:Y42))+ABS(SUM(Y43:Y45))+ABS(SUM(Y46:Y48))</f>
        <v>685</v>
      </c>
      <c r="Z49" s="98">
        <f>IF(Y49+Y59=0,0,IF(Y49=Y59,1,IF(Y49&gt;Y59,2,0)))</f>
        <v>2</v>
      </c>
      <c r="AA49" s="188">
        <f>ABS(SUM(AA37:AA39))+ABS(SUM(AA40:AA42))+ABS(SUM(AA43:AA45))+ABS(SUM(AA46:AA48))</f>
        <v>675</v>
      </c>
      <c r="AB49" s="98">
        <f>IF(AA49+AA59=0,0,IF(AA49=AA59,1,IF(AA49&gt;AA59,2,0)))</f>
        <v>0</v>
      </c>
      <c r="AC49" s="188">
        <f>ABS(SUM(AC37:AC39))+ABS(SUM(AC40:AC42))+ABS(SUM(AC43:AC45))+ABS(SUM(AC46:AC48))</f>
        <v>791</v>
      </c>
      <c r="AD49" s="98">
        <f>IF(AC49+AC59=0,0,IF(AC49=AC59,1,IF(AC49&gt;AC59,2,0)))</f>
        <v>2</v>
      </c>
      <c r="AE49" s="198">
        <f>SUM(U49+W49+Y49+AA49+AC49)</f>
        <v>3580</v>
      </c>
      <c r="AF49" s="12">
        <f>SUM(V49+X49+Z49+AB49+AD49)</f>
        <v>4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7"/>
        <v/>
      </c>
      <c r="D50" s="1" t="str">
        <f t="shared" si="47"/>
        <v/>
      </c>
      <c r="E50" s="23">
        <f>IF(V50="","",V50)</f>
        <v>3</v>
      </c>
      <c r="F50" s="1" t="str">
        <f t="shared" si="26"/>
        <v/>
      </c>
      <c r="G50" s="23">
        <f>IF(X50="","",X50)</f>
        <v>2</v>
      </c>
      <c r="H50" s="1" t="str">
        <f t="shared" si="27"/>
        <v/>
      </c>
      <c r="I50" s="23">
        <f>IF(Z50="","",Z50)</f>
        <v>5</v>
      </c>
      <c r="J50" s="1" t="str">
        <f t="shared" si="28"/>
        <v/>
      </c>
      <c r="K50" s="23">
        <f>IF(AB50="","",AB50)</f>
        <v>1</v>
      </c>
      <c r="L50" s="1" t="str">
        <f t="shared" si="29"/>
        <v/>
      </c>
      <c r="M50" s="23">
        <f>IF(AD50="","",AD50)</f>
        <v>6</v>
      </c>
      <c r="N50" s="1" t="str">
        <f t="shared" si="30"/>
        <v/>
      </c>
      <c r="O50" s="23">
        <f>IF(AF50="","",AF50)</f>
        <v>17</v>
      </c>
      <c r="S50" s="8" t="s">
        <v>1802</v>
      </c>
      <c r="T50" s="1"/>
      <c r="U50" s="1"/>
      <c r="V50" s="72">
        <f>SUM(V37:V49)</f>
        <v>3</v>
      </c>
      <c r="W50" s="1"/>
      <c r="X50" s="72">
        <f>SUM(X37:X49)</f>
        <v>2</v>
      </c>
      <c r="Y50" s="1"/>
      <c r="Z50" s="72">
        <f>SUM(Z37:Z49)</f>
        <v>5</v>
      </c>
      <c r="AA50" s="1"/>
      <c r="AB50" s="72">
        <f>SUM(AB37:AB49)</f>
        <v>1</v>
      </c>
      <c r="AC50" s="1"/>
      <c r="AD50" s="72">
        <f>SUM(AD37:AD49)</f>
        <v>6</v>
      </c>
      <c r="AE50" s="1"/>
      <c r="AF50" s="72">
        <f>SUM(AF37:AF49)</f>
        <v>17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17</v>
      </c>
      <c r="BB50" s="213">
        <f>AE49</f>
        <v>3580</v>
      </c>
      <c r="BC50" s="214">
        <f>+S32</f>
        <v>2</v>
      </c>
      <c r="BF50" s="215">
        <f>SUM(BF31:BF49)</f>
        <v>20</v>
      </c>
      <c r="BM50" s="212">
        <f>+BB50/1000000+BA50</f>
        <v>17.003579999999999</v>
      </c>
      <c r="BN50" s="214">
        <f>RANK(BM50,BM:BM)</f>
        <v>3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M52" si="49">IF(S52=0,"",S52)</f>
        <v>Gegner-Nr.:</v>
      </c>
      <c r="C52" s="5" t="str">
        <f t="shared" si="49"/>
        <v>&gt;&gt;&gt;&gt;</v>
      </c>
      <c r="D52" s="350">
        <f t="shared" si="49"/>
        <v>3</v>
      </c>
      <c r="E52" s="350" t="str">
        <f t="shared" si="49"/>
        <v/>
      </c>
      <c r="F52" s="350">
        <f t="shared" si="49"/>
        <v>1</v>
      </c>
      <c r="G52" s="350" t="str">
        <f t="shared" si="49"/>
        <v/>
      </c>
      <c r="H52" s="350">
        <f t="shared" si="49"/>
        <v>6</v>
      </c>
      <c r="I52" s="350" t="str">
        <f t="shared" si="49"/>
        <v/>
      </c>
      <c r="J52" s="350">
        <f t="shared" si="49"/>
        <v>4</v>
      </c>
      <c r="K52" s="350" t="str">
        <f t="shared" si="49"/>
        <v/>
      </c>
      <c r="L52" s="350">
        <f t="shared" si="49"/>
        <v>5</v>
      </c>
      <c r="M52" s="350" t="str">
        <f t="shared" si="49"/>
        <v/>
      </c>
      <c r="N52" s="351"/>
      <c r="O52" s="351"/>
      <c r="S52" s="13" t="s">
        <v>1789</v>
      </c>
      <c r="T52" s="5" t="s">
        <v>1790</v>
      </c>
      <c r="U52" s="369">
        <f>VLOOKUP($S32,Schlüssel!$A$5:$DG$10,23)</f>
        <v>3</v>
      </c>
      <c r="V52" s="370"/>
      <c r="W52" s="369">
        <f>VLOOKUP($S32,Schlüssel!$A$5:$EK$10,24)</f>
        <v>1</v>
      </c>
      <c r="X52" s="370"/>
      <c r="Y52" s="369">
        <f>VLOOKUP($S32,Schlüssel!$A$5:$EK$10,25)</f>
        <v>6</v>
      </c>
      <c r="Z52" s="370"/>
      <c r="AA52" s="369">
        <f>VLOOKUP($S32,Schlüssel!$A$5:$EK$10,26)</f>
        <v>4</v>
      </c>
      <c r="AB52" s="370"/>
      <c r="AC52" s="369">
        <f>VLOOKUP($S32,Schlüssel!$A$5:$EK$10,27)</f>
        <v>5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ref="B53:M54" si="50">IF(S53=0,"",S53)</f>
        <v/>
      </c>
      <c r="C53" s="1" t="str">
        <f t="shared" si="50"/>
        <v/>
      </c>
      <c r="D53" s="347" t="str">
        <f t="shared" si="50"/>
        <v>Kings Club Bayreuth Land 2</v>
      </c>
      <c r="E53" s="348" t="str">
        <f t="shared" si="50"/>
        <v/>
      </c>
      <c r="F53" s="347" t="str">
        <f t="shared" si="50"/>
        <v>Castra Regina Regensburg 3</v>
      </c>
      <c r="G53" s="348" t="str">
        <f t="shared" si="50"/>
        <v/>
      </c>
      <c r="H53" s="347" t="str">
        <f t="shared" si="50"/>
        <v>Adler Nürnberg 1</v>
      </c>
      <c r="I53" s="348" t="str">
        <f t="shared" si="50"/>
        <v/>
      </c>
      <c r="J53" s="347" t="str">
        <f t="shared" si="50"/>
        <v>Kings Club Bayreuth Land 3</v>
      </c>
      <c r="K53" s="348" t="str">
        <f t="shared" si="50"/>
        <v/>
      </c>
      <c r="L53" s="347" t="str">
        <f t="shared" si="50"/>
        <v>Castra Regina Regensburg 2</v>
      </c>
      <c r="M53" s="348" t="str">
        <f t="shared" si="50"/>
        <v/>
      </c>
      <c r="N53" s="349"/>
      <c r="O53" s="349"/>
      <c r="S53" s="4"/>
      <c r="T53" s="1"/>
      <c r="U53" s="347" t="str">
        <f>VLOOKUP(U52,Schlüssel!$A$5:$K$10,2)</f>
        <v>Kings Club Bayreuth Land 2</v>
      </c>
      <c r="V53" s="348"/>
      <c r="W53" s="347" t="str">
        <f>VLOOKUP(W52,Schlüssel!$A$5:$K$10,2)</f>
        <v>Castra Regina Regensburg 3</v>
      </c>
      <c r="X53" s="348"/>
      <c r="Y53" s="347" t="str">
        <f>VLOOKUP(Y52,Schlüssel!$A$5:$K$10,2)</f>
        <v>Adler Nürnberg 1</v>
      </c>
      <c r="Z53" s="348"/>
      <c r="AA53" s="347" t="str">
        <f>VLOOKUP(AA52,Schlüssel!$A$5:$K$10,2)</f>
        <v>Kings Club Bayreuth Land 3</v>
      </c>
      <c r="AB53" s="348"/>
      <c r="AC53" s="347" t="str">
        <f>VLOOKUP(AC52,Schlüssel!$A$5:$K$10,2)</f>
        <v>Castra Regina Regensburg 2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50"/>
        <v/>
      </c>
      <c r="C54" s="1" t="str">
        <f t="shared" si="50"/>
        <v/>
      </c>
      <c r="D54" s="346" t="str">
        <f t="shared" si="50"/>
        <v/>
      </c>
      <c r="E54" s="346" t="str">
        <f t="shared" si="50"/>
        <v/>
      </c>
      <c r="F54" s="346" t="str">
        <f t="shared" si="50"/>
        <v/>
      </c>
      <c r="G54" s="346" t="str">
        <f t="shared" si="50"/>
        <v/>
      </c>
      <c r="H54" s="346" t="str">
        <f t="shared" si="50"/>
        <v/>
      </c>
      <c r="I54" s="346" t="str">
        <f t="shared" si="50"/>
        <v/>
      </c>
      <c r="J54" s="346" t="str">
        <f t="shared" si="50"/>
        <v/>
      </c>
      <c r="K54" s="346" t="str">
        <f t="shared" si="50"/>
        <v/>
      </c>
      <c r="L54" s="346" t="str">
        <f t="shared" si="50"/>
        <v/>
      </c>
      <c r="M54" s="346" t="str">
        <f t="shared" si="50"/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ref="B55:C59" si="51">IF(S55=0,"",S55)</f>
        <v>Spieler 1</v>
      </c>
      <c r="C55" s="372" t="str">
        <f t="shared" si="51"/>
        <v/>
      </c>
      <c r="D55" s="344">
        <f>IF(U55=301,"",U55)</f>
        <v>129</v>
      </c>
      <c r="E55" s="344" t="str">
        <f>IF(V55=0,"",V55)</f>
        <v/>
      </c>
      <c r="F55" s="344">
        <f>IF(W55=301,"",W55)</f>
        <v>192</v>
      </c>
      <c r="G55" s="344" t="str">
        <f>IF(X55=0,"",X55)</f>
        <v/>
      </c>
      <c r="H55" s="344">
        <f>IF(Y55=301,"",Y55)</f>
        <v>186</v>
      </c>
      <c r="I55" s="344" t="str">
        <f>IF(Z55=0,"",Z55)</f>
        <v/>
      </c>
      <c r="J55" s="344">
        <f>IF(AA55=301,"",AA55)</f>
        <v>148</v>
      </c>
      <c r="K55" s="344" t="str">
        <f>IF(AB55=0,"",AB55)</f>
        <v/>
      </c>
      <c r="L55" s="344">
        <f>IF(AC55=301,"",AC55)</f>
        <v>211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129</v>
      </c>
      <c r="V55" s="368"/>
      <c r="W55" s="367">
        <f>ABS(INDEX(W:W,MATCH(W52,$S:$S,0)+5)+INDEX(W:W,MATCH(W52,$S:$S,0)+6)+INDEX(W:W,MATCH(W52,$S:$S,0)+7))</f>
        <v>192</v>
      </c>
      <c r="X55" s="368"/>
      <c r="Y55" s="367">
        <f>ABS(INDEX(Y:Y,MATCH(Y52,$S:$S,0)+5)+INDEX(Y:Y,MATCH(Y52,$S:$S,0)+6)+INDEX(Y:Y,MATCH(Y52,$S:$S,0)+7))</f>
        <v>186</v>
      </c>
      <c r="Z55" s="368"/>
      <c r="AA55" s="367">
        <f>ABS(INDEX(AA:AA,MATCH(AA52,$S:$S,0)+5)+INDEX(AA:AA,MATCH(AA52,$S:$S,0)+6)+INDEX(AA:AA,MATCH(AA52,$S:$S,0)+7))</f>
        <v>148</v>
      </c>
      <c r="AB55" s="368"/>
      <c r="AC55" s="367">
        <f>ABS(INDEX(AC:AC,MATCH(AC52,$S:$S,0)+5)+INDEX(AC:AC,MATCH(AC52,$S:$S,0)+6)+INDEX(AC:AC,MATCH(AC52,$S:$S,0)+7))</f>
        <v>211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1"/>
        <v/>
      </c>
      <c r="D56" s="344">
        <f>IF(U56=301,"",U56)</f>
        <v>179</v>
      </c>
      <c r="E56" s="344" t="str">
        <f>IF(V56=0,"",V56)</f>
        <v/>
      </c>
      <c r="F56" s="344">
        <f>IF(W56=301,"",W56)</f>
        <v>200</v>
      </c>
      <c r="G56" s="344" t="str">
        <f>IF(X56=0,"",X56)</f>
        <v/>
      </c>
      <c r="H56" s="344">
        <f>IF(Y56=301,"",Y56)</f>
        <v>135</v>
      </c>
      <c r="I56" s="344" t="str">
        <f>IF(Z56=0,"",Z56)</f>
        <v/>
      </c>
      <c r="J56" s="344">
        <f>IF(AA56=301,"",AA56)</f>
        <v>213</v>
      </c>
      <c r="K56" s="344" t="str">
        <f>IF(AB56=0,"",AB56)</f>
        <v/>
      </c>
      <c r="L56" s="344">
        <f>IF(AC56=301,"",AC56)</f>
        <v>156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179</v>
      </c>
      <c r="V56" s="366"/>
      <c r="W56" s="365">
        <f>ABS(INDEX(W:W,MATCH(W52,$S:$S,0)+8)+INDEX(W:W,MATCH(W52,$S:$S,0)+9)+INDEX(W:W,MATCH(W52,$S:$S,0)+10))</f>
        <v>200</v>
      </c>
      <c r="X56" s="366"/>
      <c r="Y56" s="365">
        <f>ABS(INDEX(Y:Y,MATCH(Y52,$S:$S,0)+8)+INDEX(Y:Y,MATCH(Y52,$S:$S,0)+9)+INDEX(Y:Y,MATCH(Y52,$S:$S,0)+10))</f>
        <v>135</v>
      </c>
      <c r="Z56" s="366"/>
      <c r="AA56" s="365">
        <f>ABS(INDEX(AA:AA,MATCH(AA52,$S:$S,0)+8)+INDEX(AA:AA,MATCH(AA52,$S:$S,0)+9)+INDEX(AA:AA,MATCH(AA52,$S:$S,0)+10))</f>
        <v>213</v>
      </c>
      <c r="AB56" s="366"/>
      <c r="AC56" s="365">
        <f>ABS(INDEX(AC:AC,MATCH(AC52,$S:$S,0)+8)+INDEX(AC:AC,MATCH(AC52,$S:$S,0)+9)+INDEX(AC:AC,MATCH(AC52,$S:$S,0)+10))</f>
        <v>156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1"/>
        <v/>
      </c>
      <c r="D57" s="344">
        <f>IF(U57=301,"",U57)</f>
        <v>169</v>
      </c>
      <c r="E57" s="344" t="str">
        <f>IF(V57=0,"",V57)</f>
        <v/>
      </c>
      <c r="F57" s="344">
        <f>IF(W57=301,"",W57)</f>
        <v>202</v>
      </c>
      <c r="G57" s="344" t="str">
        <f>IF(X57=0,"",X57)</f>
        <v/>
      </c>
      <c r="H57" s="344">
        <f>IF(Y57=301,"",Y57)</f>
        <v>158</v>
      </c>
      <c r="I57" s="344" t="str">
        <f>IF(Z57=0,"",Z57)</f>
        <v/>
      </c>
      <c r="J57" s="344">
        <f>IF(AA57=301,"",AA57)</f>
        <v>218</v>
      </c>
      <c r="K57" s="344" t="str">
        <f>IF(AB57=0,"",AB57)</f>
        <v/>
      </c>
      <c r="L57" s="344">
        <f>IF(AC57=301,"",AC57)</f>
        <v>166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169</v>
      </c>
      <c r="V57" s="366"/>
      <c r="W57" s="365">
        <f>ABS(INDEX(W:W,MATCH(W52,$S:$S,0)+11)+INDEX(W:W,MATCH(W52,$S:$S,0)+12)+INDEX(W:W,MATCH(W52,$S:$S,0)+13))</f>
        <v>202</v>
      </c>
      <c r="X57" s="366"/>
      <c r="Y57" s="365">
        <f>ABS(INDEX(Y:Y,MATCH(Y52,$S:$S,0)+11)+INDEX(Y:Y,MATCH(Y52,$S:$S,0)+12)+INDEX(Y:Y,MATCH(Y52,$S:$S,0)+13))</f>
        <v>158</v>
      </c>
      <c r="Z57" s="366"/>
      <c r="AA57" s="365">
        <f>ABS(INDEX(AA:AA,MATCH(AA52,$S:$S,0)+11)+INDEX(AA:AA,MATCH(AA52,$S:$S,0)+12)+INDEX(AA:AA,MATCH(AA52,$S:$S,0)+13))</f>
        <v>218</v>
      </c>
      <c r="AB57" s="366"/>
      <c r="AC57" s="365">
        <f>ABS(INDEX(AC:AC,MATCH(AC52,$S:$S,0)+11)+INDEX(AC:AC,MATCH(AC52,$S:$S,0)+12)+INDEX(AC:AC,MATCH(AC52,$S:$S,0)+13))</f>
        <v>166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1"/>
        <v/>
      </c>
      <c r="D58" s="344">
        <f>IF(U58=301,"",U58)</f>
        <v>225</v>
      </c>
      <c r="E58" s="344" t="str">
        <f>IF(V58=0,"",V58)</f>
        <v/>
      </c>
      <c r="F58" s="344">
        <f>IF(W58=301,"",W58)</f>
        <v>172</v>
      </c>
      <c r="G58" s="344" t="str">
        <f>IF(X58=0,"",X58)</f>
        <v/>
      </c>
      <c r="H58" s="344">
        <f>IF(Y58=301,"",Y58)</f>
        <v>171</v>
      </c>
      <c r="I58" s="344" t="str">
        <f>IF(Z58=0,"",Z58)</f>
        <v/>
      </c>
      <c r="J58" s="344">
        <f>IF(AA58=301,"",AA58)</f>
        <v>157</v>
      </c>
      <c r="K58" s="344" t="str">
        <f>IF(AB58=0,"",AB58)</f>
        <v/>
      </c>
      <c r="L58" s="344">
        <f>IF(AC58=301,"",AC58)</f>
        <v>168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225</v>
      </c>
      <c r="V58" s="366"/>
      <c r="W58" s="365">
        <f>ABS(INDEX(W:W,MATCH(W52,$S:$S,0)+14)+INDEX(W:W,MATCH(W52,$S:$S,0)+15)+INDEX(W:W,MATCH(W52,$S:$S,0)+16))</f>
        <v>172</v>
      </c>
      <c r="X58" s="366"/>
      <c r="Y58" s="365">
        <f>ABS(INDEX(Y:Y,MATCH(Y52,$S:$S,0)+14)+INDEX(Y:Y,MATCH(Y52,$S:$S,0)+15)+INDEX(Y:Y,MATCH(Y52,$S:$S,0)+16))</f>
        <v>171</v>
      </c>
      <c r="Z58" s="366"/>
      <c r="AA58" s="365">
        <f>ABS(INDEX(AA:AA,MATCH(AA52,$S:$S,0)+14)+INDEX(AA:AA,MATCH(AA52,$S:$S,0)+15)+INDEX(AA:AA,MATCH(AA52,$S:$S,0)+16))</f>
        <v>157</v>
      </c>
      <c r="AB58" s="366"/>
      <c r="AC58" s="365">
        <f>ABS(INDEX(AC:AC,MATCH(AC52,$S:$S,0)+14)+INDEX(AC:AC,MATCH(AC52,$S:$S,0)+15)+INDEX(AC:AC,MATCH(AC52,$S:$S,0)+16))</f>
        <v>168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1"/>
        <v/>
      </c>
      <c r="D59" s="343">
        <f>IF(U59=1505,"",U59)</f>
        <v>702</v>
      </c>
      <c r="E59" s="343" t="str">
        <f>IF(V59=0,"",V59)</f>
        <v/>
      </c>
      <c r="F59" s="343">
        <f>IF(W59=1505,"",W59)</f>
        <v>766</v>
      </c>
      <c r="G59" s="343" t="str">
        <f>IF(X59=0,"",X59)</f>
        <v/>
      </c>
      <c r="H59" s="343">
        <f>IF(Y59=1505,"",Y59)</f>
        <v>650</v>
      </c>
      <c r="I59" s="343" t="str">
        <f>IF(Z59=0,"",Z59)</f>
        <v/>
      </c>
      <c r="J59" s="343">
        <f>IF(AA59=1505,"",AA59)</f>
        <v>736</v>
      </c>
      <c r="K59" s="343" t="str">
        <f>IF(AB59=0,"",AB59)</f>
        <v/>
      </c>
      <c r="L59" s="343">
        <f>IF(AC59=1505,"",AC59)</f>
        <v>701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702</v>
      </c>
      <c r="V59" s="360"/>
      <c r="W59" s="359">
        <f>SUM(W55:W58)</f>
        <v>766</v>
      </c>
      <c r="X59" s="360"/>
      <c r="Y59" s="359">
        <f>SUM(Y55:Y58)</f>
        <v>650</v>
      </c>
      <c r="Z59" s="360"/>
      <c r="AA59" s="359">
        <f>SUM(AA55:AA58)</f>
        <v>736</v>
      </c>
      <c r="AB59" s="360"/>
      <c r="AC59" s="359">
        <f>SUM(AC55:AC58)</f>
        <v>701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 t="str">
        <f>AD61</f>
        <v>03.11.</v>
      </c>
      <c r="N61" s="376"/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Schlüssel!$AG$1</f>
        <v>03.11.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">
        <v>1786</v>
      </c>
      <c r="E62" s="84" t="str">
        <f>V62</f>
        <v>Regensburg Super Bowl</v>
      </c>
      <c r="F62" s="77"/>
      <c r="G62" s="77"/>
      <c r="H62" s="77"/>
      <c r="I62" s="77"/>
      <c r="J62" s="77"/>
      <c r="K62" s="77"/>
      <c r="L62" s="29" t="str">
        <f>AC62</f>
        <v>Spieltag:</v>
      </c>
      <c r="M62" s="86">
        <f>AD62</f>
        <v>2</v>
      </c>
      <c r="N62" s="28"/>
      <c r="R62" s="49"/>
      <c r="S62" s="50">
        <v>3</v>
      </c>
      <c r="U62" s="30" t="s">
        <v>1786</v>
      </c>
      <c r="V62" s="84" t="str">
        <f>Schlüssel!$W$2</f>
        <v>Regensburg Super Bowl</v>
      </c>
      <c r="X62" s="77"/>
      <c r="Y62" s="77"/>
      <c r="Z62" s="77"/>
      <c r="AA62" s="77"/>
      <c r="AB62" s="77"/>
      <c r="AC62" s="29" t="s">
        <v>1784</v>
      </c>
      <c r="AD62" s="34">
        <v>2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VLOOKUP(S62,Schlüssel!$A$5:$DZ$10,33)</f>
        <v>7</v>
      </c>
      <c r="W64" s="193" t="s">
        <v>10</v>
      </c>
      <c r="X64" s="191">
        <f>VLOOKUP(S62,Schlüssel!$A$5:$DZ$10,34)</f>
        <v>11</v>
      </c>
      <c r="Y64" s="193" t="s">
        <v>10</v>
      </c>
      <c r="Z64" s="191">
        <f>VLOOKUP(S62,Schlüssel!$A$5:$DZ$10,35)</f>
        <v>10</v>
      </c>
      <c r="AA64" s="193" t="s">
        <v>10</v>
      </c>
      <c r="AB64" s="191">
        <f>VLOOKUP(S62,Schlüssel!$A$5:$DZ$10,36)</f>
        <v>8</v>
      </c>
      <c r="AC64" s="193" t="s">
        <v>10</v>
      </c>
      <c r="AD64" s="192">
        <f>VLOOKUP(S62,Schlüssel!$A$5:$DZ$10,37)</f>
        <v>9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>Reichert, Roland</v>
      </c>
      <c r="C67" s="18">
        <f>IF(T67=0,"",T67)</f>
        <v>7123</v>
      </c>
      <c r="D67" s="14">
        <f>IF(U67=0,"",U67)</f>
        <v>129</v>
      </c>
      <c r="E67" s="352">
        <f>IF(V67="","",V67)</f>
        <v>0</v>
      </c>
      <c r="F67" s="14">
        <f t="shared" ref="F67:F80" si="52">IF(W67=0,"",W67)</f>
        <v>123</v>
      </c>
      <c r="G67" s="352">
        <f>IF(X67="","",X67)</f>
        <v>0</v>
      </c>
      <c r="H67" s="14">
        <f t="shared" ref="H67:H80" si="53">IF(Y67=0,"",Y67)</f>
        <v>168</v>
      </c>
      <c r="I67" s="352">
        <f>IF(Z67="","",Z67)</f>
        <v>0</v>
      </c>
      <c r="J67" s="14">
        <f t="shared" ref="J67:J80" si="54">IF(AA67=0,"",AA67)</f>
        <v>145</v>
      </c>
      <c r="K67" s="352">
        <f>IF(AB67="","",AB67)</f>
        <v>0</v>
      </c>
      <c r="L67" s="14">
        <f t="shared" ref="L67:L80" si="55">IF(AC67=0,"",AC67)</f>
        <v>169</v>
      </c>
      <c r="M67" s="352">
        <f>IF(AD67="","",AD67)</f>
        <v>0</v>
      </c>
      <c r="N67" s="14">
        <f t="shared" ref="N67:N80" si="56">IF(AE67=0,"",AE67)</f>
        <v>734</v>
      </c>
      <c r="O67" s="352">
        <f>IF(AF67="","",AF67)</f>
        <v>0</v>
      </c>
      <c r="R67" s="355" t="s">
        <v>0</v>
      </c>
      <c r="S67" s="68" t="str">
        <f>IF(T67=0,"",VLOOKUP(T67,Starter!$A$1:$D$196,2,FALSE))</f>
        <v>Reichert, Roland</v>
      </c>
      <c r="T67" s="175">
        <v>7123</v>
      </c>
      <c r="U67" s="183">
        <v>129</v>
      </c>
      <c r="V67" s="95">
        <f>IF(SUM(U67:U69)+U85=0,0,IF(ABS(SUM(U67:U69))=U85,0.5,IF(ABS(SUM(U67:U69))&gt;U85,1,0)))</f>
        <v>0</v>
      </c>
      <c r="W67" s="183">
        <v>123</v>
      </c>
      <c r="X67" s="95">
        <f>IF(SUM(W67:W69)+W85=0,0,IF(ABS(SUM(W67:W69))=W85,0.5,IF(ABS(SUM(W67:W69))&gt;W85,1,0)))</f>
        <v>0</v>
      </c>
      <c r="Y67" s="183">
        <v>168</v>
      </c>
      <c r="Z67" s="95">
        <f>IF(SUM(Y67:Y69)+Y85=0,0,IF(ABS(SUM(Y67:Y69))=Y85,0.5,IF(ABS(SUM(Y67:Y69))&gt;Y85,1,0)))</f>
        <v>0</v>
      </c>
      <c r="AA67" s="189">
        <v>145</v>
      </c>
      <c r="AB67" s="95">
        <f>IF(SUM(AA67:AA69)+AA85=0,0,IF(ABS(SUM(AA67:AA69))=AA85,0.5,IF(ABS(SUM(AA67:AA69))&gt;AA85,1,0)))</f>
        <v>0</v>
      </c>
      <c r="AC67" s="183">
        <v>169</v>
      </c>
      <c r="AD67" s="95">
        <f>IF(SUM(AC67:AC69)+AC85=0,0,IF(ABS(SUM(AC67:AC69))=AC85,0.5,IF(ABS(SUM(AC67:AC69))&gt;AC85,1,0)))</f>
        <v>0</v>
      </c>
      <c r="AE67" s="195">
        <f t="shared" ref="AE67:AE78" si="57">ABS(SUM(U67:U67))+ABS(SUM(W67:W67))+ABS(SUM(Y67:Y67))+ABS(SUM(AA67:AA67))+ABS(SUM(AC67:AC67))</f>
        <v>734</v>
      </c>
      <c r="AF67" s="180">
        <f>SUM(V67+X67+Z67+AB67+AD67)</f>
        <v>0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58">T67</f>
        <v>7123</v>
      </c>
      <c r="BE67" s="213">
        <f t="shared" ref="BE67:BE78" si="59">AE67</f>
        <v>734</v>
      </c>
      <c r="BF67" s="215">
        <f t="shared" ref="BF67:BF78" si="60">COUNT(BH67:BL67)</f>
        <v>5</v>
      </c>
      <c r="BG67" s="215">
        <f t="shared" ref="BG67:BG78" si="61">COUNTIF(BH67:BL67,"&gt;0")</f>
        <v>5</v>
      </c>
      <c r="BH67" s="215">
        <f t="shared" ref="BH67:BH78" si="62">IF(U67=0,"",U67)</f>
        <v>129</v>
      </c>
      <c r="BI67" s="215">
        <f t="shared" ref="BI67:BI78" si="63">IF(W67=0,"",W67)</f>
        <v>123</v>
      </c>
      <c r="BJ67" s="215">
        <f t="shared" ref="BJ67:BJ78" si="64">IF(Y67=0,"",Y67)</f>
        <v>168</v>
      </c>
      <c r="BK67" s="215">
        <f t="shared" ref="BK67:BK78" si="65">IF(AA67=0,"",AA67)</f>
        <v>145</v>
      </c>
      <c r="BL67" s="215">
        <f t="shared" ref="BL67:BL78" si="66">IF(AC67=0,"",AC67)</f>
        <v>169</v>
      </c>
      <c r="BM67" s="216"/>
      <c r="BN67" s="214"/>
      <c r="BO67" s="215">
        <f t="shared" ref="BO67:BO78" si="67">MAX(BH67:BL67)</f>
        <v>169</v>
      </c>
      <c r="BP67" s="215">
        <f t="shared" ref="BP67:BP78" si="68">IF(BO67&lt;MAX(BO:BO),0,BO67+ROW()/1000000000)</f>
        <v>0</v>
      </c>
      <c r="BQ67" s="215" t="str">
        <f>+S63</f>
        <v>Kings Club Bayreuth Land 2</v>
      </c>
      <c r="BR67" s="214">
        <f t="shared" ref="BR67:BR78" si="69">RANK(BP67,BP:BP)</f>
        <v>2</v>
      </c>
      <c r="BS67" s="215">
        <f t="shared" ref="BS67:BS78" si="70">SUMIF(BH67:BL67,"&gt;0")</f>
        <v>734</v>
      </c>
      <c r="BT67" s="215">
        <f>IF(COUNTIF(BH67:BL67,"&gt;0")&lt;Spielorte!$A$23,0,BE67/Spielorte!$A$23)</f>
        <v>146.80000000000001</v>
      </c>
      <c r="BU67" s="215">
        <f t="shared" ref="BU67:BU78" si="71">IF(BT67&lt;MAX(BT:BT),0,BT67+ROW()/1000000000)</f>
        <v>0</v>
      </c>
      <c r="BV67" s="214">
        <f t="shared" ref="BV67:BV78" si="72">IF(BU67=0,0,RANK(BU67,BU:BU))</f>
        <v>0</v>
      </c>
    </row>
    <row r="68" spans="1:74" ht="17.100000000000001" customHeight="1" x14ac:dyDescent="0.2">
      <c r="A68" s="374"/>
      <c r="B68" s="19" t="str">
        <f t="shared" ref="B68:D80" si="73">IF(S68=0,"",S68)</f>
        <v/>
      </c>
      <c r="C68" s="20" t="str">
        <f t="shared" si="73"/>
        <v/>
      </c>
      <c r="D68" s="15" t="str">
        <f t="shared" si="73"/>
        <v/>
      </c>
      <c r="E68" s="353"/>
      <c r="F68" s="15" t="str">
        <f t="shared" si="52"/>
        <v/>
      </c>
      <c r="G68" s="353"/>
      <c r="H68" s="15" t="str">
        <f t="shared" si="53"/>
        <v/>
      </c>
      <c r="I68" s="353"/>
      <c r="J68" s="15" t="str">
        <f t="shared" si="54"/>
        <v/>
      </c>
      <c r="K68" s="353"/>
      <c r="L68" s="15" t="str">
        <f t="shared" si="55"/>
        <v/>
      </c>
      <c r="M68" s="353"/>
      <c r="N68" s="15" t="str">
        <f t="shared" si="56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7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58"/>
        <v>0</v>
      </c>
      <c r="BE68" s="213">
        <f t="shared" si="59"/>
        <v>0</v>
      </c>
      <c r="BF68" s="215">
        <f t="shared" si="60"/>
        <v>0</v>
      </c>
      <c r="BG68" s="215">
        <f t="shared" si="61"/>
        <v>0</v>
      </c>
      <c r="BH68" s="215" t="str">
        <f t="shared" si="62"/>
        <v/>
      </c>
      <c r="BI68" s="215" t="str">
        <f t="shared" si="63"/>
        <v/>
      </c>
      <c r="BJ68" s="215" t="str">
        <f t="shared" si="64"/>
        <v/>
      </c>
      <c r="BK68" s="215" t="str">
        <f t="shared" si="65"/>
        <v/>
      </c>
      <c r="BL68" s="215" t="str">
        <f t="shared" si="66"/>
        <v/>
      </c>
      <c r="BM68" s="216"/>
      <c r="BN68" s="214"/>
      <c r="BO68" s="215">
        <f t="shared" si="67"/>
        <v>0</v>
      </c>
      <c r="BP68" s="215">
        <f t="shared" si="68"/>
        <v>0</v>
      </c>
      <c r="BQ68" s="215" t="str">
        <f t="shared" ref="BQ68:BQ78" si="74">+BQ67</f>
        <v>Kings Club Bayreuth Land 2</v>
      </c>
      <c r="BR68" s="214">
        <f t="shared" si="69"/>
        <v>2</v>
      </c>
      <c r="BS68" s="215">
        <f t="shared" si="70"/>
        <v>0</v>
      </c>
      <c r="BT68" s="215">
        <f>IF(COUNTIF(BH68:BL68,"&gt;0")&lt;Spielorte!$A$23,0,BE68/Spielorte!$A$23)</f>
        <v>0</v>
      </c>
      <c r="BU68" s="215">
        <f t="shared" si="71"/>
        <v>0</v>
      </c>
      <c r="BV68" s="214">
        <f t="shared" si="72"/>
        <v>0</v>
      </c>
    </row>
    <row r="69" spans="1:74" ht="17.100000000000001" customHeight="1" thickBot="1" x14ac:dyDescent="0.25">
      <c r="A69" s="375"/>
      <c r="B69" s="21" t="str">
        <f t="shared" si="73"/>
        <v/>
      </c>
      <c r="C69" s="22" t="str">
        <f t="shared" si="73"/>
        <v/>
      </c>
      <c r="D69" s="9" t="str">
        <f t="shared" si="73"/>
        <v/>
      </c>
      <c r="E69" s="354"/>
      <c r="F69" s="9" t="str">
        <f t="shared" si="52"/>
        <v/>
      </c>
      <c r="G69" s="354"/>
      <c r="H69" s="9" t="str">
        <f t="shared" si="53"/>
        <v/>
      </c>
      <c r="I69" s="354"/>
      <c r="J69" s="9" t="str">
        <f t="shared" si="54"/>
        <v/>
      </c>
      <c r="K69" s="354"/>
      <c r="L69" s="9" t="str">
        <f t="shared" si="55"/>
        <v/>
      </c>
      <c r="M69" s="354"/>
      <c r="N69" s="9" t="str">
        <f t="shared" si="56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7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58"/>
        <v>0</v>
      </c>
      <c r="BE69" s="213">
        <f t="shared" si="59"/>
        <v>0</v>
      </c>
      <c r="BF69" s="215">
        <f t="shared" si="60"/>
        <v>0</v>
      </c>
      <c r="BG69" s="215">
        <f t="shared" si="61"/>
        <v>0</v>
      </c>
      <c r="BH69" s="215" t="str">
        <f t="shared" si="62"/>
        <v/>
      </c>
      <c r="BI69" s="215" t="str">
        <f t="shared" si="63"/>
        <v/>
      </c>
      <c r="BJ69" s="215" t="str">
        <f t="shared" si="64"/>
        <v/>
      </c>
      <c r="BK69" s="215" t="str">
        <f t="shared" si="65"/>
        <v/>
      </c>
      <c r="BL69" s="215" t="str">
        <f t="shared" si="66"/>
        <v/>
      </c>
      <c r="BM69" s="216"/>
      <c r="BN69" s="214"/>
      <c r="BO69" s="215">
        <f t="shared" si="67"/>
        <v>0</v>
      </c>
      <c r="BP69" s="215">
        <f t="shared" si="68"/>
        <v>0</v>
      </c>
      <c r="BQ69" s="215" t="str">
        <f t="shared" si="74"/>
        <v>Kings Club Bayreuth Land 2</v>
      </c>
      <c r="BR69" s="214">
        <f t="shared" si="69"/>
        <v>2</v>
      </c>
      <c r="BS69" s="215">
        <f t="shared" si="70"/>
        <v>0</v>
      </c>
      <c r="BT69" s="215">
        <f>IF(COUNTIF(BH69:BL69,"&gt;0")&lt;Spielorte!$A$23,0,BE69/Spielorte!$A$23)</f>
        <v>0</v>
      </c>
      <c r="BU69" s="215">
        <f t="shared" si="71"/>
        <v>0</v>
      </c>
      <c r="BV69" s="214">
        <f t="shared" si="72"/>
        <v>0</v>
      </c>
    </row>
    <row r="70" spans="1:74" ht="17.100000000000001" customHeight="1" x14ac:dyDescent="0.2">
      <c r="A70" s="373" t="s">
        <v>2</v>
      </c>
      <c r="B70" s="17" t="str">
        <f t="shared" si="73"/>
        <v>Katholing, Jürgen</v>
      </c>
      <c r="C70" s="18">
        <f t="shared" si="73"/>
        <v>38661</v>
      </c>
      <c r="D70" s="14">
        <f t="shared" si="73"/>
        <v>179</v>
      </c>
      <c r="E70" s="352">
        <f>IF(V70="","",V70)</f>
        <v>0</v>
      </c>
      <c r="F70" s="14">
        <f t="shared" si="52"/>
        <v>176</v>
      </c>
      <c r="G70" s="352">
        <f>IF(X70="","",X70)</f>
        <v>0</v>
      </c>
      <c r="H70" s="14">
        <f t="shared" si="53"/>
        <v>178</v>
      </c>
      <c r="I70" s="352">
        <f>IF(Z70="","",Z70)</f>
        <v>1</v>
      </c>
      <c r="J70" s="14">
        <f t="shared" si="54"/>
        <v>201</v>
      </c>
      <c r="K70" s="352">
        <f>IF(AB70="","",AB70)</f>
        <v>1</v>
      </c>
      <c r="L70" s="14">
        <f t="shared" si="55"/>
        <v>170</v>
      </c>
      <c r="M70" s="352">
        <f>IF(AD70="","",AD70)</f>
        <v>1</v>
      </c>
      <c r="N70" s="14">
        <f t="shared" si="56"/>
        <v>904</v>
      </c>
      <c r="O70" s="352">
        <f>IF(AF70="","",AF70)</f>
        <v>3</v>
      </c>
      <c r="R70" s="355" t="s">
        <v>2</v>
      </c>
      <c r="S70" s="68" t="str">
        <f>IF(T70=0,"",VLOOKUP(T70,Starter!$A$1:$D$196,2,FALSE))</f>
        <v>Katholing, Jürgen</v>
      </c>
      <c r="T70" s="178">
        <v>38661</v>
      </c>
      <c r="U70" s="186">
        <v>179</v>
      </c>
      <c r="V70" s="95">
        <f>IF(SUM(U70:U72)+U86=0,0,IF(ABS(SUM(U70:U72))=U86,0.5,IF(ABS(SUM(U70:U72))&gt;U86,1,0)))</f>
        <v>0</v>
      </c>
      <c r="W70" s="186">
        <v>176</v>
      </c>
      <c r="X70" s="95">
        <f>IF(SUM(W70:W72)+W86=0,0,IF(ABS(SUM(W70:W72))=W86,0.5,IF(ABS(SUM(W70:W72))&gt;W86,1,0)))</f>
        <v>0</v>
      </c>
      <c r="Y70" s="186">
        <v>178</v>
      </c>
      <c r="Z70" s="95">
        <f>IF(SUM(Y70:Y72)+Y86=0,0,IF(ABS(SUM(Y70:Y72))=Y86,0.5,IF(ABS(SUM(Y70:Y72))&gt;Y86,1,0)))</f>
        <v>1</v>
      </c>
      <c r="AA70" s="186">
        <v>201</v>
      </c>
      <c r="AB70" s="95">
        <f>IF(SUM(AA70:AA72)+AA86=0,0,IF(ABS(SUM(AA70:AA72))=AA86,0.5,IF(ABS(SUM(AA70:AA72))&gt;AA86,1,0)))</f>
        <v>1</v>
      </c>
      <c r="AC70" s="186">
        <v>170</v>
      </c>
      <c r="AD70" s="95">
        <f>IF(SUM(AC70:AC72)+AC86=0,0,IF(ABS(SUM(AC70:AC72))=AC86,0.5,IF(ABS(SUM(AC70:AC72))&gt;AC86,1,0)))</f>
        <v>1</v>
      </c>
      <c r="AE70" s="195">
        <f t="shared" si="57"/>
        <v>904</v>
      </c>
      <c r="AF70" s="180">
        <f>SUM(V70+X70+Z70+AB70+AD70)</f>
        <v>3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58"/>
        <v>38661</v>
      </c>
      <c r="BE70" s="213">
        <f t="shared" si="59"/>
        <v>904</v>
      </c>
      <c r="BF70" s="215">
        <f t="shared" si="60"/>
        <v>5</v>
      </c>
      <c r="BG70" s="215">
        <f t="shared" si="61"/>
        <v>5</v>
      </c>
      <c r="BH70" s="215">
        <f t="shared" si="62"/>
        <v>179</v>
      </c>
      <c r="BI70" s="215">
        <f t="shared" si="63"/>
        <v>176</v>
      </c>
      <c r="BJ70" s="215">
        <f t="shared" si="64"/>
        <v>178</v>
      </c>
      <c r="BK70" s="215">
        <f t="shared" si="65"/>
        <v>201</v>
      </c>
      <c r="BL70" s="215">
        <f t="shared" si="66"/>
        <v>170</v>
      </c>
      <c r="BM70" s="216"/>
      <c r="BN70" s="214"/>
      <c r="BO70" s="215">
        <f t="shared" si="67"/>
        <v>201</v>
      </c>
      <c r="BP70" s="215">
        <f t="shared" si="68"/>
        <v>0</v>
      </c>
      <c r="BQ70" s="215" t="str">
        <f t="shared" si="74"/>
        <v>Kings Club Bayreuth Land 2</v>
      </c>
      <c r="BR70" s="214">
        <f t="shared" si="69"/>
        <v>2</v>
      </c>
      <c r="BS70" s="215">
        <f t="shared" si="70"/>
        <v>904</v>
      </c>
      <c r="BT70" s="215">
        <f>IF(COUNTIF(BH70:BL70,"&gt;0")&lt;Spielorte!$A$23,0,BE70/Spielorte!$A$23)</f>
        <v>180.8</v>
      </c>
      <c r="BU70" s="215">
        <f t="shared" si="71"/>
        <v>0</v>
      </c>
      <c r="BV70" s="214">
        <f t="shared" si="72"/>
        <v>0</v>
      </c>
    </row>
    <row r="71" spans="1:74" ht="17.100000000000001" customHeight="1" x14ac:dyDescent="0.2">
      <c r="A71" s="374"/>
      <c r="B71" s="19" t="str">
        <f t="shared" si="73"/>
        <v/>
      </c>
      <c r="C71" s="20" t="str">
        <f t="shared" si="73"/>
        <v/>
      </c>
      <c r="D71" s="15" t="str">
        <f t="shared" si="73"/>
        <v/>
      </c>
      <c r="E71" s="353"/>
      <c r="F71" s="15" t="str">
        <f t="shared" si="52"/>
        <v/>
      </c>
      <c r="G71" s="353"/>
      <c r="H71" s="15" t="str">
        <f t="shared" si="53"/>
        <v/>
      </c>
      <c r="I71" s="353"/>
      <c r="J71" s="15" t="str">
        <f t="shared" si="54"/>
        <v/>
      </c>
      <c r="K71" s="353"/>
      <c r="L71" s="15" t="str">
        <f t="shared" si="55"/>
        <v/>
      </c>
      <c r="M71" s="353"/>
      <c r="N71" s="15" t="str">
        <f t="shared" si="56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7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58"/>
        <v>0</v>
      </c>
      <c r="BE71" s="213">
        <f t="shared" si="59"/>
        <v>0</v>
      </c>
      <c r="BF71" s="215">
        <f t="shared" si="60"/>
        <v>0</v>
      </c>
      <c r="BG71" s="215">
        <f t="shared" si="61"/>
        <v>0</v>
      </c>
      <c r="BH71" s="215" t="str">
        <f t="shared" si="62"/>
        <v/>
      </c>
      <c r="BI71" s="215" t="str">
        <f t="shared" si="63"/>
        <v/>
      </c>
      <c r="BJ71" s="215" t="str">
        <f t="shared" si="64"/>
        <v/>
      </c>
      <c r="BK71" s="215" t="str">
        <f t="shared" si="65"/>
        <v/>
      </c>
      <c r="BL71" s="215" t="str">
        <f t="shared" si="66"/>
        <v/>
      </c>
      <c r="BM71" s="216"/>
      <c r="BN71" s="214"/>
      <c r="BO71" s="215">
        <f t="shared" si="67"/>
        <v>0</v>
      </c>
      <c r="BP71" s="215">
        <f t="shared" si="68"/>
        <v>0</v>
      </c>
      <c r="BQ71" s="215" t="str">
        <f t="shared" si="74"/>
        <v>Kings Club Bayreuth Land 2</v>
      </c>
      <c r="BR71" s="214">
        <f t="shared" si="69"/>
        <v>2</v>
      </c>
      <c r="BS71" s="215">
        <f t="shared" si="70"/>
        <v>0</v>
      </c>
      <c r="BT71" s="215">
        <f>IF(COUNTIF(BH71:BL71,"&gt;0")&lt;Spielorte!$A$23,0,BE71/Spielorte!$A$23)</f>
        <v>0</v>
      </c>
      <c r="BU71" s="215">
        <f t="shared" si="71"/>
        <v>0</v>
      </c>
      <c r="BV71" s="214">
        <f t="shared" si="72"/>
        <v>0</v>
      </c>
    </row>
    <row r="72" spans="1:74" ht="17.100000000000001" customHeight="1" thickBot="1" x14ac:dyDescent="0.25">
      <c r="A72" s="375"/>
      <c r="B72" s="21" t="str">
        <f t="shared" si="73"/>
        <v/>
      </c>
      <c r="C72" s="22" t="str">
        <f t="shared" si="73"/>
        <v/>
      </c>
      <c r="D72" s="9" t="str">
        <f t="shared" si="73"/>
        <v/>
      </c>
      <c r="E72" s="354"/>
      <c r="F72" s="9" t="str">
        <f t="shared" si="52"/>
        <v/>
      </c>
      <c r="G72" s="354"/>
      <c r="H72" s="9" t="str">
        <f t="shared" si="53"/>
        <v/>
      </c>
      <c r="I72" s="354"/>
      <c r="J72" s="9" t="str">
        <f t="shared" si="54"/>
        <v/>
      </c>
      <c r="K72" s="354"/>
      <c r="L72" s="9" t="str">
        <f t="shared" si="55"/>
        <v/>
      </c>
      <c r="M72" s="354"/>
      <c r="N72" s="9" t="str">
        <f t="shared" si="56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7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58"/>
        <v>0</v>
      </c>
      <c r="BE72" s="213">
        <f t="shared" si="59"/>
        <v>0</v>
      </c>
      <c r="BF72" s="215">
        <f t="shared" si="60"/>
        <v>0</v>
      </c>
      <c r="BG72" s="215">
        <f t="shared" si="61"/>
        <v>0</v>
      </c>
      <c r="BH72" s="215" t="str">
        <f t="shared" si="62"/>
        <v/>
      </c>
      <c r="BI72" s="215" t="str">
        <f t="shared" si="63"/>
        <v/>
      </c>
      <c r="BJ72" s="215" t="str">
        <f t="shared" si="64"/>
        <v/>
      </c>
      <c r="BK72" s="215" t="str">
        <f t="shared" si="65"/>
        <v/>
      </c>
      <c r="BL72" s="215" t="str">
        <f t="shared" si="66"/>
        <v/>
      </c>
      <c r="BM72" s="216"/>
      <c r="BN72" s="214"/>
      <c r="BO72" s="215">
        <f t="shared" si="67"/>
        <v>0</v>
      </c>
      <c r="BP72" s="215">
        <f t="shared" si="68"/>
        <v>0</v>
      </c>
      <c r="BQ72" s="215" t="str">
        <f t="shared" si="74"/>
        <v>Kings Club Bayreuth Land 2</v>
      </c>
      <c r="BR72" s="214">
        <f t="shared" si="69"/>
        <v>2</v>
      </c>
      <c r="BS72" s="215">
        <f t="shared" si="70"/>
        <v>0</v>
      </c>
      <c r="BT72" s="215">
        <f>IF(COUNTIF(BH72:BL72,"&gt;0")&lt;Spielorte!$A$23,0,BE72/Spielorte!$A$23)</f>
        <v>0</v>
      </c>
      <c r="BU72" s="215">
        <f t="shared" si="71"/>
        <v>0</v>
      </c>
      <c r="BV72" s="214">
        <f t="shared" si="72"/>
        <v>0</v>
      </c>
    </row>
    <row r="73" spans="1:74" ht="17.100000000000001" customHeight="1" x14ac:dyDescent="0.2">
      <c r="A73" s="373" t="s">
        <v>3</v>
      </c>
      <c r="B73" s="17" t="str">
        <f t="shared" si="73"/>
        <v>Theisen, Alexander</v>
      </c>
      <c r="C73" s="18">
        <f t="shared" si="73"/>
        <v>25479</v>
      </c>
      <c r="D73" s="14">
        <f t="shared" si="73"/>
        <v>169</v>
      </c>
      <c r="E73" s="352">
        <f>IF(V73="","",V73)</f>
        <v>0</v>
      </c>
      <c r="F73" s="14">
        <f t="shared" si="52"/>
        <v>170</v>
      </c>
      <c r="G73" s="352">
        <f>IF(X73="","",X73)</f>
        <v>1</v>
      </c>
      <c r="H73" s="14">
        <f t="shared" si="53"/>
        <v>140</v>
      </c>
      <c r="I73" s="352">
        <f>IF(Z73="","",Z73)</f>
        <v>0</v>
      </c>
      <c r="J73" s="14">
        <f t="shared" si="54"/>
        <v>161</v>
      </c>
      <c r="K73" s="352">
        <f>IF(AB73="","",AB73)</f>
        <v>0</v>
      </c>
      <c r="L73" s="14">
        <f t="shared" si="55"/>
        <v>179</v>
      </c>
      <c r="M73" s="352">
        <f>IF(AD73="","",AD73)</f>
        <v>0</v>
      </c>
      <c r="N73" s="14">
        <f t="shared" si="56"/>
        <v>819</v>
      </c>
      <c r="O73" s="352">
        <f>IF(AF73="","",AF73)</f>
        <v>1</v>
      </c>
      <c r="R73" s="355" t="s">
        <v>3</v>
      </c>
      <c r="S73" s="68" t="str">
        <f>IF(T73=0,"",VLOOKUP(T73,Starter!$A$1:$D$196,2,FALSE))</f>
        <v>Theisen, Alexander</v>
      </c>
      <c r="T73" s="178">
        <v>25479</v>
      </c>
      <c r="U73" s="186">
        <v>169</v>
      </c>
      <c r="V73" s="95">
        <f>IF(SUM(U73:U75)+U87=0,0,IF(ABS(SUM(U73:U75))=U87,0.5,IF(ABS(SUM(U73:U75))&gt;U87,1,0)))</f>
        <v>0</v>
      </c>
      <c r="W73" s="186">
        <v>170</v>
      </c>
      <c r="X73" s="95">
        <f>IF(SUM(W73:W75)+W87=0,0,IF(ABS(SUM(W73:W75))=W87,0.5,IF(ABS(SUM(W73:W75))&gt;W87,1,0)))</f>
        <v>1</v>
      </c>
      <c r="Y73" s="186">
        <v>140</v>
      </c>
      <c r="Z73" s="95">
        <f>IF(SUM(Y73:Y75)+Y87=0,0,IF(ABS(SUM(Y73:Y75))=Y87,0.5,IF(ABS(SUM(Y73:Y75))&gt;Y87,1,0)))</f>
        <v>0</v>
      </c>
      <c r="AA73" s="186">
        <v>161</v>
      </c>
      <c r="AB73" s="95">
        <f>IF(SUM(AA73:AA75)+AA87=0,0,IF(ABS(SUM(AA73:AA75))=AA87,0.5,IF(ABS(SUM(AA73:AA75))&gt;AA87,1,0)))</f>
        <v>0</v>
      </c>
      <c r="AC73" s="186">
        <v>179</v>
      </c>
      <c r="AD73" s="95">
        <f>IF(SUM(AC73:AC75)+AC87=0,0,IF(ABS(SUM(AC73:AC75))=AC87,0.5,IF(ABS(SUM(AC73:AC75))&gt;AC87,1,0)))</f>
        <v>0</v>
      </c>
      <c r="AE73" s="195">
        <f t="shared" si="57"/>
        <v>819</v>
      </c>
      <c r="AF73" s="180">
        <f>SUM(V73+X73+Z73+AB73+AD73)</f>
        <v>1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58"/>
        <v>25479</v>
      </c>
      <c r="BE73" s="213">
        <f t="shared" si="59"/>
        <v>819</v>
      </c>
      <c r="BF73" s="215">
        <f t="shared" si="60"/>
        <v>5</v>
      </c>
      <c r="BG73" s="215">
        <f t="shared" si="61"/>
        <v>5</v>
      </c>
      <c r="BH73" s="215">
        <f t="shared" si="62"/>
        <v>169</v>
      </c>
      <c r="BI73" s="215">
        <f t="shared" si="63"/>
        <v>170</v>
      </c>
      <c r="BJ73" s="215">
        <f t="shared" si="64"/>
        <v>140</v>
      </c>
      <c r="BK73" s="215">
        <f t="shared" si="65"/>
        <v>161</v>
      </c>
      <c r="BL73" s="215">
        <f t="shared" si="66"/>
        <v>179</v>
      </c>
      <c r="BM73" s="216"/>
      <c r="BN73" s="214"/>
      <c r="BO73" s="215">
        <f t="shared" si="67"/>
        <v>179</v>
      </c>
      <c r="BP73" s="215">
        <f t="shared" si="68"/>
        <v>0</v>
      </c>
      <c r="BQ73" s="215" t="str">
        <f t="shared" si="74"/>
        <v>Kings Club Bayreuth Land 2</v>
      </c>
      <c r="BR73" s="214">
        <f t="shared" si="69"/>
        <v>2</v>
      </c>
      <c r="BS73" s="215">
        <f t="shared" si="70"/>
        <v>819</v>
      </c>
      <c r="BT73" s="215">
        <f>IF(COUNTIF(BH73:BL73,"&gt;0")&lt;Spielorte!$A$23,0,BE73/Spielorte!$A$23)</f>
        <v>163.80000000000001</v>
      </c>
      <c r="BU73" s="215">
        <f t="shared" si="71"/>
        <v>0</v>
      </c>
      <c r="BV73" s="214">
        <f t="shared" si="72"/>
        <v>0</v>
      </c>
    </row>
    <row r="74" spans="1:74" ht="17.100000000000001" customHeight="1" x14ac:dyDescent="0.2">
      <c r="A74" s="374"/>
      <c r="B74" s="19" t="str">
        <f t="shared" si="73"/>
        <v/>
      </c>
      <c r="C74" s="20" t="str">
        <f t="shared" si="73"/>
        <v/>
      </c>
      <c r="D74" s="15" t="str">
        <f t="shared" si="73"/>
        <v/>
      </c>
      <c r="E74" s="353"/>
      <c r="F74" s="15" t="str">
        <f t="shared" si="52"/>
        <v/>
      </c>
      <c r="G74" s="353"/>
      <c r="H74" s="15" t="str">
        <f t="shared" si="53"/>
        <v/>
      </c>
      <c r="I74" s="353"/>
      <c r="J74" s="15" t="str">
        <f t="shared" si="54"/>
        <v/>
      </c>
      <c r="K74" s="353"/>
      <c r="L74" s="15" t="str">
        <f t="shared" si="55"/>
        <v/>
      </c>
      <c r="M74" s="353"/>
      <c r="N74" s="15" t="str">
        <f t="shared" si="56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7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58"/>
        <v>0</v>
      </c>
      <c r="BE74" s="213">
        <f t="shared" si="59"/>
        <v>0</v>
      </c>
      <c r="BF74" s="215">
        <f t="shared" si="60"/>
        <v>0</v>
      </c>
      <c r="BG74" s="215">
        <f t="shared" si="61"/>
        <v>0</v>
      </c>
      <c r="BH74" s="215" t="str">
        <f t="shared" si="62"/>
        <v/>
      </c>
      <c r="BI74" s="215" t="str">
        <f t="shared" si="63"/>
        <v/>
      </c>
      <c r="BJ74" s="215" t="str">
        <f t="shared" si="64"/>
        <v/>
      </c>
      <c r="BK74" s="215" t="str">
        <f t="shared" si="65"/>
        <v/>
      </c>
      <c r="BL74" s="215" t="str">
        <f t="shared" si="66"/>
        <v/>
      </c>
      <c r="BM74" s="216"/>
      <c r="BN74" s="214"/>
      <c r="BO74" s="215">
        <f t="shared" si="67"/>
        <v>0</v>
      </c>
      <c r="BP74" s="215">
        <f t="shared" si="68"/>
        <v>0</v>
      </c>
      <c r="BQ74" s="215" t="str">
        <f t="shared" si="74"/>
        <v>Kings Club Bayreuth Land 2</v>
      </c>
      <c r="BR74" s="214">
        <f t="shared" si="69"/>
        <v>2</v>
      </c>
      <c r="BS74" s="215">
        <f t="shared" si="70"/>
        <v>0</v>
      </c>
      <c r="BT74" s="215">
        <f>IF(COUNTIF(BH74:BL74,"&gt;0")&lt;Spielorte!$A$23,0,BE74/Spielorte!$A$23)</f>
        <v>0</v>
      </c>
      <c r="BU74" s="215">
        <f t="shared" si="71"/>
        <v>0</v>
      </c>
      <c r="BV74" s="214">
        <f t="shared" si="72"/>
        <v>0</v>
      </c>
    </row>
    <row r="75" spans="1:74" ht="17.100000000000001" customHeight="1" thickBot="1" x14ac:dyDescent="0.25">
      <c r="A75" s="375"/>
      <c r="B75" s="21" t="str">
        <f t="shared" si="73"/>
        <v/>
      </c>
      <c r="C75" s="22" t="str">
        <f t="shared" si="73"/>
        <v/>
      </c>
      <c r="D75" s="9" t="str">
        <f t="shared" si="73"/>
        <v/>
      </c>
      <c r="E75" s="354"/>
      <c r="F75" s="9" t="str">
        <f t="shared" si="52"/>
        <v/>
      </c>
      <c r="G75" s="354"/>
      <c r="H75" s="9" t="str">
        <f t="shared" si="53"/>
        <v/>
      </c>
      <c r="I75" s="354"/>
      <c r="J75" s="9" t="str">
        <f t="shared" si="54"/>
        <v/>
      </c>
      <c r="K75" s="354"/>
      <c r="L75" s="9" t="str">
        <f t="shared" si="55"/>
        <v/>
      </c>
      <c r="M75" s="354"/>
      <c r="N75" s="9" t="str">
        <f t="shared" si="56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7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58"/>
        <v>0</v>
      </c>
      <c r="BE75" s="213">
        <f t="shared" si="59"/>
        <v>0</v>
      </c>
      <c r="BF75" s="215">
        <f t="shared" si="60"/>
        <v>0</v>
      </c>
      <c r="BG75" s="215">
        <f t="shared" si="61"/>
        <v>0</v>
      </c>
      <c r="BH75" s="215" t="str">
        <f t="shared" si="62"/>
        <v/>
      </c>
      <c r="BI75" s="215" t="str">
        <f t="shared" si="63"/>
        <v/>
      </c>
      <c r="BJ75" s="215" t="str">
        <f t="shared" si="64"/>
        <v/>
      </c>
      <c r="BK75" s="215" t="str">
        <f t="shared" si="65"/>
        <v/>
      </c>
      <c r="BL75" s="215" t="str">
        <f t="shared" si="66"/>
        <v/>
      </c>
      <c r="BM75" s="216"/>
      <c r="BN75" s="214"/>
      <c r="BO75" s="215">
        <f t="shared" si="67"/>
        <v>0</v>
      </c>
      <c r="BP75" s="215">
        <f t="shared" si="68"/>
        <v>0</v>
      </c>
      <c r="BQ75" s="215" t="str">
        <f t="shared" si="74"/>
        <v>Kings Club Bayreuth Land 2</v>
      </c>
      <c r="BR75" s="214">
        <f t="shared" si="69"/>
        <v>2</v>
      </c>
      <c r="BS75" s="215">
        <f t="shared" si="70"/>
        <v>0</v>
      </c>
      <c r="BT75" s="215">
        <f>IF(COUNTIF(BH75:BL75,"&gt;0")&lt;Spielorte!$A$23,0,BE75/Spielorte!$A$23)</f>
        <v>0</v>
      </c>
      <c r="BU75" s="215">
        <f t="shared" si="71"/>
        <v>0</v>
      </c>
      <c r="BV75" s="214">
        <f t="shared" si="72"/>
        <v>0</v>
      </c>
    </row>
    <row r="76" spans="1:74" ht="17.100000000000001" customHeight="1" x14ac:dyDescent="0.2">
      <c r="A76" s="373" t="s">
        <v>11</v>
      </c>
      <c r="B76" s="17" t="str">
        <f>IF(S76=0,"",S76)</f>
        <v>Franke, Guido</v>
      </c>
      <c r="C76" s="18">
        <f t="shared" si="73"/>
        <v>7135</v>
      </c>
      <c r="D76" s="14">
        <f t="shared" si="73"/>
        <v>225</v>
      </c>
      <c r="E76" s="352">
        <f>IF(V76="","",V76)</f>
        <v>1</v>
      </c>
      <c r="F76" s="14">
        <f t="shared" si="52"/>
        <v>155</v>
      </c>
      <c r="G76" s="352">
        <f>IF(X76="","",X76)</f>
        <v>0</v>
      </c>
      <c r="H76" s="14">
        <f t="shared" si="53"/>
        <v>199</v>
      </c>
      <c r="I76" s="352">
        <f>IF(Z76="","",Z76)</f>
        <v>0</v>
      </c>
      <c r="J76" s="14">
        <f t="shared" si="54"/>
        <v>146</v>
      </c>
      <c r="K76" s="352">
        <f>IF(AB76="","",AB76)</f>
        <v>0</v>
      </c>
      <c r="L76" s="14">
        <f t="shared" si="55"/>
        <v>189</v>
      </c>
      <c r="M76" s="352">
        <f>IF(AD76="","",AD76)</f>
        <v>1</v>
      </c>
      <c r="N76" s="14">
        <f t="shared" si="56"/>
        <v>914</v>
      </c>
      <c r="O76" s="352">
        <f>IF(AF76="","",AF76)</f>
        <v>2</v>
      </c>
      <c r="R76" s="355" t="s">
        <v>11</v>
      </c>
      <c r="S76" s="68" t="str">
        <f>IF(T76=0,"",VLOOKUP(T76,Starter!$A$1:$D$196,2,FALSE))</f>
        <v>Franke, Guido</v>
      </c>
      <c r="T76" s="178">
        <v>7135</v>
      </c>
      <c r="U76" s="186">
        <v>225</v>
      </c>
      <c r="V76" s="95">
        <f>IF(SUM(U76:U78)+U88=0,0,IF(ABS(SUM(U76:U78))=U88,0.5,IF(ABS(SUM(U76:U78))&gt;U88,1,0)))</f>
        <v>1</v>
      </c>
      <c r="W76" s="186">
        <v>155</v>
      </c>
      <c r="X76" s="95">
        <f>IF(SUM(W76:W78)+W88=0,0,IF(ABS(SUM(W76:W78))=W88,0.5,IF(ABS(SUM(W76:W78))&gt;W88,1,0)))</f>
        <v>0</v>
      </c>
      <c r="Y76" s="186">
        <v>199</v>
      </c>
      <c r="Z76" s="95">
        <f>IF(SUM(Y76:Y78)+Y88=0,0,IF(ABS(SUM(Y76:Y78))=Y88,0.5,IF(ABS(SUM(Y76:Y78))&gt;Y88,1,0)))</f>
        <v>0</v>
      </c>
      <c r="AA76" s="186">
        <v>146</v>
      </c>
      <c r="AB76" s="95">
        <f>IF(SUM(AA76:AA78)+AA88=0,0,IF(ABS(SUM(AA76:AA78))=AA88,0.5,IF(ABS(SUM(AA76:AA78))&gt;AA88,1,0)))</f>
        <v>0</v>
      </c>
      <c r="AC76" s="186">
        <v>189</v>
      </c>
      <c r="AD76" s="95">
        <f>IF(SUM(AC76:AC78)+AC88=0,0,IF(ABS(SUM(AC76:AC78))=AC88,0.5,IF(ABS(SUM(AC76:AC78))&gt;AC88,1,0)))</f>
        <v>1</v>
      </c>
      <c r="AE76" s="195">
        <f t="shared" si="57"/>
        <v>914</v>
      </c>
      <c r="AF76" s="180">
        <f>SUM(V76+X76+Z76+AB76+AD76)</f>
        <v>2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58"/>
        <v>7135</v>
      </c>
      <c r="BE76" s="213">
        <f t="shared" si="59"/>
        <v>914</v>
      </c>
      <c r="BF76" s="215">
        <f t="shared" si="60"/>
        <v>5</v>
      </c>
      <c r="BG76" s="215">
        <f t="shared" si="61"/>
        <v>5</v>
      </c>
      <c r="BH76" s="215">
        <f t="shared" si="62"/>
        <v>225</v>
      </c>
      <c r="BI76" s="215">
        <f t="shared" si="63"/>
        <v>155</v>
      </c>
      <c r="BJ76" s="215">
        <f t="shared" si="64"/>
        <v>199</v>
      </c>
      <c r="BK76" s="215">
        <f t="shared" si="65"/>
        <v>146</v>
      </c>
      <c r="BL76" s="215">
        <f t="shared" si="66"/>
        <v>189</v>
      </c>
      <c r="BM76" s="216"/>
      <c r="BN76" s="214"/>
      <c r="BO76" s="215">
        <f t="shared" si="67"/>
        <v>225</v>
      </c>
      <c r="BP76" s="215">
        <f t="shared" si="68"/>
        <v>0</v>
      </c>
      <c r="BQ76" s="215" t="str">
        <f t="shared" si="74"/>
        <v>Kings Club Bayreuth Land 2</v>
      </c>
      <c r="BR76" s="214">
        <f t="shared" si="69"/>
        <v>2</v>
      </c>
      <c r="BS76" s="215">
        <f t="shared" si="70"/>
        <v>914</v>
      </c>
      <c r="BT76" s="215">
        <f>IF(COUNTIF(BH76:BL76,"&gt;0")&lt;Spielorte!$A$23,0,BE76/Spielorte!$A$23)</f>
        <v>182.8</v>
      </c>
      <c r="BU76" s="215">
        <f t="shared" si="71"/>
        <v>0</v>
      </c>
      <c r="BV76" s="214">
        <f t="shared" si="72"/>
        <v>0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3"/>
        <v/>
      </c>
      <c r="D77" s="15" t="str">
        <f t="shared" si="73"/>
        <v/>
      </c>
      <c r="E77" s="353"/>
      <c r="F77" s="15" t="str">
        <f t="shared" si="52"/>
        <v/>
      </c>
      <c r="G77" s="353"/>
      <c r="H77" s="15" t="str">
        <f t="shared" si="53"/>
        <v/>
      </c>
      <c r="I77" s="353"/>
      <c r="J77" s="15" t="str">
        <f t="shared" si="54"/>
        <v/>
      </c>
      <c r="K77" s="353"/>
      <c r="L77" s="15" t="str">
        <f t="shared" si="55"/>
        <v/>
      </c>
      <c r="M77" s="353"/>
      <c r="N77" s="15" t="str">
        <f t="shared" si="56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7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58"/>
        <v>0</v>
      </c>
      <c r="BE77" s="213">
        <f t="shared" si="59"/>
        <v>0</v>
      </c>
      <c r="BF77" s="215">
        <f t="shared" si="60"/>
        <v>0</v>
      </c>
      <c r="BG77" s="215">
        <f t="shared" si="61"/>
        <v>0</v>
      </c>
      <c r="BH77" s="215" t="str">
        <f t="shared" si="62"/>
        <v/>
      </c>
      <c r="BI77" s="215" t="str">
        <f t="shared" si="63"/>
        <v/>
      </c>
      <c r="BJ77" s="215" t="str">
        <f t="shared" si="64"/>
        <v/>
      </c>
      <c r="BK77" s="215" t="str">
        <f t="shared" si="65"/>
        <v/>
      </c>
      <c r="BL77" s="215" t="str">
        <f t="shared" si="66"/>
        <v/>
      </c>
      <c r="BM77" s="216"/>
      <c r="BN77" s="214"/>
      <c r="BO77" s="215">
        <f t="shared" si="67"/>
        <v>0</v>
      </c>
      <c r="BP77" s="215">
        <f t="shared" si="68"/>
        <v>0</v>
      </c>
      <c r="BQ77" s="215" t="str">
        <f t="shared" si="74"/>
        <v>Kings Club Bayreuth Land 2</v>
      </c>
      <c r="BR77" s="214">
        <f t="shared" si="69"/>
        <v>2</v>
      </c>
      <c r="BS77" s="215">
        <f t="shared" si="70"/>
        <v>0</v>
      </c>
      <c r="BT77" s="215">
        <f>IF(COUNTIF(BH77:BL77,"&gt;0")&lt;Spielorte!$A$23,0,BE77/Spielorte!$A$23)</f>
        <v>0</v>
      </c>
      <c r="BU77" s="215">
        <f t="shared" si="71"/>
        <v>0</v>
      </c>
      <c r="BV77" s="214">
        <f t="shared" si="72"/>
        <v>0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3"/>
        <v/>
      </c>
      <c r="D78" s="9" t="str">
        <f t="shared" si="73"/>
        <v/>
      </c>
      <c r="E78" s="354"/>
      <c r="F78" s="9" t="str">
        <f t="shared" si="52"/>
        <v/>
      </c>
      <c r="G78" s="354"/>
      <c r="H78" s="9" t="str">
        <f t="shared" si="53"/>
        <v/>
      </c>
      <c r="I78" s="354"/>
      <c r="J78" s="9" t="str">
        <f t="shared" si="54"/>
        <v/>
      </c>
      <c r="K78" s="354"/>
      <c r="L78" s="9" t="str">
        <f t="shared" si="55"/>
        <v/>
      </c>
      <c r="M78" s="354"/>
      <c r="N78" s="9" t="str">
        <f t="shared" si="56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7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58"/>
        <v>0</v>
      </c>
      <c r="BE78" s="213">
        <f t="shared" si="59"/>
        <v>0</v>
      </c>
      <c r="BF78" s="215">
        <f t="shared" si="60"/>
        <v>0</v>
      </c>
      <c r="BG78" s="215">
        <f t="shared" si="61"/>
        <v>0</v>
      </c>
      <c r="BH78" s="215" t="str">
        <f t="shared" si="62"/>
        <v/>
      </c>
      <c r="BI78" s="215" t="str">
        <f t="shared" si="63"/>
        <v/>
      </c>
      <c r="BJ78" s="215" t="str">
        <f t="shared" si="64"/>
        <v/>
      </c>
      <c r="BK78" s="215" t="str">
        <f t="shared" si="65"/>
        <v/>
      </c>
      <c r="BL78" s="215" t="str">
        <f t="shared" si="66"/>
        <v/>
      </c>
      <c r="BM78" s="216"/>
      <c r="BN78" s="214"/>
      <c r="BO78" s="215">
        <f t="shared" si="67"/>
        <v>0</v>
      </c>
      <c r="BP78" s="215">
        <f t="shared" si="68"/>
        <v>0</v>
      </c>
      <c r="BQ78" s="215" t="str">
        <f t="shared" si="74"/>
        <v>Kings Club Bayreuth Land 2</v>
      </c>
      <c r="BR78" s="214">
        <f t="shared" si="69"/>
        <v>2</v>
      </c>
      <c r="BS78" s="215">
        <f t="shared" si="70"/>
        <v>0</v>
      </c>
      <c r="BT78" s="215">
        <f>IF(COUNTIF(BH78:BL78,"&gt;0")&lt;Spielorte!$A$23,0,BE78/Spielorte!$A$23)</f>
        <v>0</v>
      </c>
      <c r="BU78" s="215">
        <f t="shared" si="71"/>
        <v>0</v>
      </c>
      <c r="BV78" s="214">
        <f t="shared" si="72"/>
        <v>0</v>
      </c>
    </row>
    <row r="79" spans="1:74" ht="27.75" customHeight="1" thickBot="1" x14ac:dyDescent="0.25">
      <c r="B79" s="11" t="str">
        <f>IF(S79=0,"",S79)</f>
        <v>Gesamt</v>
      </c>
      <c r="C79" s="26" t="str">
        <f t="shared" si="73"/>
        <v/>
      </c>
      <c r="D79" s="16">
        <f t="shared" si="73"/>
        <v>702</v>
      </c>
      <c r="E79" s="12">
        <f>IF(V79="","",V79)</f>
        <v>2</v>
      </c>
      <c r="F79" s="16">
        <f t="shared" si="52"/>
        <v>624</v>
      </c>
      <c r="G79" s="12">
        <f>IF(X79="","",X79)</f>
        <v>0</v>
      </c>
      <c r="H79" s="16">
        <f t="shared" si="53"/>
        <v>685</v>
      </c>
      <c r="I79" s="12">
        <f>IF(Z79="","",Z79)</f>
        <v>0</v>
      </c>
      <c r="J79" s="16">
        <f t="shared" si="54"/>
        <v>653</v>
      </c>
      <c r="K79" s="12">
        <f>IF(AB79="","",AB79)</f>
        <v>0</v>
      </c>
      <c r="L79" s="16">
        <f t="shared" si="55"/>
        <v>707</v>
      </c>
      <c r="M79" s="12">
        <f>IF(AD79="","",AD79)</f>
        <v>0</v>
      </c>
      <c r="N79" s="16">
        <f t="shared" si="56"/>
        <v>3371</v>
      </c>
      <c r="O79" s="12">
        <f>IF(AF79="","",AF79)</f>
        <v>2</v>
      </c>
      <c r="S79" s="11" t="s">
        <v>1791</v>
      </c>
      <c r="T79" s="71"/>
      <c r="U79" s="188">
        <f>ABS(SUM(U67:U69))+ABS(SUM(U70:U72))+ABS(SUM(U73:U75))+ABS(SUM(U76:U78))</f>
        <v>702</v>
      </c>
      <c r="V79" s="98">
        <f>IF(U79+U89=0,0,IF(U79=U89,1,IF(U79&gt;U89,2,0)))</f>
        <v>2</v>
      </c>
      <c r="W79" s="188">
        <f>ABS(SUM(W67:W69))+ABS(SUM(W70:W72))+ABS(SUM(W73:W75))+ABS(SUM(W76:W78))</f>
        <v>624</v>
      </c>
      <c r="X79" s="98">
        <f>IF(W79+W89=0,0,IF(W79=W89,1,IF(W79&gt;W89,2,0)))</f>
        <v>0</v>
      </c>
      <c r="Y79" s="188">
        <f>ABS(SUM(Y67:Y69))+ABS(SUM(Y70:Y72))+ABS(SUM(Y73:Y75))+ABS(SUM(Y76:Y78))</f>
        <v>685</v>
      </c>
      <c r="Z79" s="98">
        <f>IF(Y79+Y89=0,0,IF(Y79=Y89,1,IF(Y79&gt;Y89,2,0)))</f>
        <v>0</v>
      </c>
      <c r="AA79" s="188">
        <f>ABS(SUM(AA67:AA69))+ABS(SUM(AA70:AA72))+ABS(SUM(AA73:AA75))+ABS(SUM(AA76:AA78))</f>
        <v>653</v>
      </c>
      <c r="AB79" s="98">
        <f>IF(AA79+AA89=0,0,IF(AA79=AA89,1,IF(AA79&gt;AA89,2,0)))</f>
        <v>0</v>
      </c>
      <c r="AC79" s="188">
        <f>ABS(SUM(AC67:AC69))+ABS(SUM(AC70:AC72))+ABS(SUM(AC73:AC75))+ABS(SUM(AC76:AC78))</f>
        <v>707</v>
      </c>
      <c r="AD79" s="98">
        <f>IF(AC79+AC89=0,0,IF(AC79=AC89,1,IF(AC79&gt;AC89,2,0)))</f>
        <v>0</v>
      </c>
      <c r="AE79" s="198">
        <f>SUM(U79+W79+Y79+AA79+AC79)</f>
        <v>3371</v>
      </c>
      <c r="AF79" s="12">
        <f>SUM(V79+X79+Z79+AB79+AD79)</f>
        <v>2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3"/>
        <v/>
      </c>
      <c r="D80" s="1" t="str">
        <f t="shared" si="73"/>
        <v/>
      </c>
      <c r="E80" s="23">
        <f>IF(V80="","",V80)</f>
        <v>3</v>
      </c>
      <c r="F80" s="1" t="str">
        <f t="shared" si="52"/>
        <v/>
      </c>
      <c r="G80" s="23">
        <f>IF(X80="","",X80)</f>
        <v>1</v>
      </c>
      <c r="H80" s="1" t="str">
        <f t="shared" si="53"/>
        <v/>
      </c>
      <c r="I80" s="23">
        <f>IF(Z80="","",Z80)</f>
        <v>1</v>
      </c>
      <c r="J80" s="1" t="str">
        <f t="shared" si="54"/>
        <v/>
      </c>
      <c r="K80" s="23">
        <f>IF(AB80="","",AB80)</f>
        <v>1</v>
      </c>
      <c r="L80" s="1" t="str">
        <f t="shared" si="55"/>
        <v/>
      </c>
      <c r="M80" s="23">
        <f>IF(AD80="","",AD80)</f>
        <v>2</v>
      </c>
      <c r="N80" s="1" t="str">
        <f t="shared" si="56"/>
        <v/>
      </c>
      <c r="O80" s="23">
        <f>IF(AF80="","",AF80)</f>
        <v>8</v>
      </c>
      <c r="S80" s="8" t="s">
        <v>1802</v>
      </c>
      <c r="T80" s="1"/>
      <c r="U80" s="1"/>
      <c r="V80" s="72">
        <f>SUM(V67:V79)</f>
        <v>3</v>
      </c>
      <c r="W80" s="1"/>
      <c r="X80" s="72">
        <f>SUM(X67:X79)</f>
        <v>1</v>
      </c>
      <c r="Y80" s="1"/>
      <c r="Z80" s="72">
        <f>SUM(Z67:Z79)</f>
        <v>1</v>
      </c>
      <c r="AA80" s="1"/>
      <c r="AB80" s="72">
        <f>SUM(AB67:AB79)</f>
        <v>1</v>
      </c>
      <c r="AC80" s="1"/>
      <c r="AD80" s="72">
        <f>SUM(AD67:AD79)</f>
        <v>2</v>
      </c>
      <c r="AE80" s="1"/>
      <c r="AF80" s="72">
        <f>SUM(AF67:AF79)</f>
        <v>8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8</v>
      </c>
      <c r="BB80" s="213">
        <f>AE79</f>
        <v>3371</v>
      </c>
      <c r="BC80" s="214">
        <f>+S62</f>
        <v>3</v>
      </c>
      <c r="BF80" s="215">
        <f>SUM(BF61:BF79)</f>
        <v>20</v>
      </c>
      <c r="BM80" s="212">
        <f>+BB80/1000000+BA80</f>
        <v>8.0033709999999996</v>
      </c>
      <c r="BN80" s="214">
        <f>RANK(BM80,BM:BM)</f>
        <v>6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M82" si="75">IF(S82=0,"",S82)</f>
        <v>Gegner-Nr.:</v>
      </c>
      <c r="C82" s="5" t="str">
        <f t="shared" si="75"/>
        <v>&gt;&gt;&gt;&gt;</v>
      </c>
      <c r="D82" s="350">
        <f t="shared" si="75"/>
        <v>2</v>
      </c>
      <c r="E82" s="350" t="str">
        <f t="shared" si="75"/>
        <v/>
      </c>
      <c r="F82" s="350">
        <f t="shared" si="75"/>
        <v>4</v>
      </c>
      <c r="G82" s="350" t="str">
        <f t="shared" si="75"/>
        <v/>
      </c>
      <c r="H82" s="350">
        <f t="shared" si="75"/>
        <v>5</v>
      </c>
      <c r="I82" s="350" t="str">
        <f t="shared" si="75"/>
        <v/>
      </c>
      <c r="J82" s="350">
        <f t="shared" si="75"/>
        <v>6</v>
      </c>
      <c r="K82" s="350" t="str">
        <f t="shared" si="75"/>
        <v/>
      </c>
      <c r="L82" s="350">
        <f t="shared" si="75"/>
        <v>1</v>
      </c>
      <c r="M82" s="350" t="str">
        <f t="shared" si="75"/>
        <v/>
      </c>
      <c r="N82" s="351"/>
      <c r="O82" s="351"/>
      <c r="S82" s="13" t="s">
        <v>1789</v>
      </c>
      <c r="T82" s="5" t="s">
        <v>1790</v>
      </c>
      <c r="U82" s="369">
        <f>VLOOKUP($S62,Schlüssel!$A$5:$DG$10,23)</f>
        <v>2</v>
      </c>
      <c r="V82" s="370"/>
      <c r="W82" s="369">
        <f>VLOOKUP($S62,Schlüssel!$A$5:$EK$10,24)</f>
        <v>4</v>
      </c>
      <c r="X82" s="370"/>
      <c r="Y82" s="369">
        <f>VLOOKUP($S62,Schlüssel!$A$5:$EK$10,25)</f>
        <v>5</v>
      </c>
      <c r="Z82" s="370"/>
      <c r="AA82" s="369">
        <f>VLOOKUP($S62,Schlüssel!$A$5:$EK$10,26)</f>
        <v>6</v>
      </c>
      <c r="AB82" s="370"/>
      <c r="AC82" s="369">
        <f>VLOOKUP($S62,Schlüssel!$A$5:$EK$10,27)</f>
        <v>1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ref="B83:M84" si="76">IF(S83=0,"",S83)</f>
        <v/>
      </c>
      <c r="C83" s="1" t="str">
        <f t="shared" si="76"/>
        <v/>
      </c>
      <c r="D83" s="347" t="str">
        <f t="shared" si="76"/>
        <v>Herzogenaurach 1</v>
      </c>
      <c r="E83" s="348" t="str">
        <f t="shared" si="76"/>
        <v/>
      </c>
      <c r="F83" s="347" t="str">
        <f t="shared" si="76"/>
        <v>Kings Club Bayreuth Land 3</v>
      </c>
      <c r="G83" s="348" t="str">
        <f t="shared" si="76"/>
        <v/>
      </c>
      <c r="H83" s="347" t="str">
        <f t="shared" si="76"/>
        <v>Castra Regina Regensburg 2</v>
      </c>
      <c r="I83" s="348" t="str">
        <f t="shared" si="76"/>
        <v/>
      </c>
      <c r="J83" s="347" t="str">
        <f t="shared" si="76"/>
        <v>Adler Nürnberg 1</v>
      </c>
      <c r="K83" s="348" t="str">
        <f t="shared" si="76"/>
        <v/>
      </c>
      <c r="L83" s="347" t="str">
        <f t="shared" si="76"/>
        <v>Castra Regina Regensburg 3</v>
      </c>
      <c r="M83" s="348" t="str">
        <f t="shared" si="76"/>
        <v/>
      </c>
      <c r="N83" s="349"/>
      <c r="O83" s="349"/>
      <c r="S83" s="4"/>
      <c r="T83" s="1"/>
      <c r="U83" s="347" t="str">
        <f>VLOOKUP(U82,Schlüssel!$A$5:$K$10,2)</f>
        <v>Herzogenaurach 1</v>
      </c>
      <c r="V83" s="348"/>
      <c r="W83" s="347" t="str">
        <f>VLOOKUP(W82,Schlüssel!$A$5:$K$10,2)</f>
        <v>Kings Club Bayreuth Land 3</v>
      </c>
      <c r="X83" s="348"/>
      <c r="Y83" s="347" t="str">
        <f>VLOOKUP(Y82,Schlüssel!$A$5:$K$10,2)</f>
        <v>Castra Regina Regensburg 2</v>
      </c>
      <c r="Z83" s="348"/>
      <c r="AA83" s="347" t="str">
        <f>VLOOKUP(AA82,Schlüssel!$A$5:$K$10,2)</f>
        <v>Adler Nürnberg 1</v>
      </c>
      <c r="AB83" s="348"/>
      <c r="AC83" s="347" t="str">
        <f>VLOOKUP(AC82,Schlüssel!$A$5:$K$10,2)</f>
        <v>Castra Regina Regensburg 3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6"/>
        <v/>
      </c>
      <c r="C84" s="1" t="str">
        <f t="shared" si="76"/>
        <v/>
      </c>
      <c r="D84" s="346" t="str">
        <f t="shared" si="76"/>
        <v/>
      </c>
      <c r="E84" s="346" t="str">
        <f t="shared" si="76"/>
        <v/>
      </c>
      <c r="F84" s="346" t="str">
        <f t="shared" si="76"/>
        <v/>
      </c>
      <c r="G84" s="346" t="str">
        <f t="shared" si="76"/>
        <v/>
      </c>
      <c r="H84" s="346" t="str">
        <f t="shared" si="76"/>
        <v/>
      </c>
      <c r="I84" s="346" t="str">
        <f t="shared" si="76"/>
        <v/>
      </c>
      <c r="J84" s="346" t="str">
        <f t="shared" si="76"/>
        <v/>
      </c>
      <c r="K84" s="346" t="str">
        <f t="shared" si="76"/>
        <v/>
      </c>
      <c r="L84" s="346" t="str">
        <f t="shared" si="76"/>
        <v/>
      </c>
      <c r="M84" s="346" t="str">
        <f t="shared" si="76"/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ref="B85:C89" si="77">IF(S85=0,"",S85)</f>
        <v>Spieler 1</v>
      </c>
      <c r="C85" s="372" t="str">
        <f t="shared" si="77"/>
        <v/>
      </c>
      <c r="D85" s="344">
        <f>IF(U85=301,"",U85)</f>
        <v>143</v>
      </c>
      <c r="E85" s="344" t="str">
        <f>IF(V85=0,"",V85)</f>
        <v/>
      </c>
      <c r="F85" s="344">
        <f>IF(W85=301,"",W85)</f>
        <v>173</v>
      </c>
      <c r="G85" s="344" t="str">
        <f>IF(X85=0,"",X85)</f>
        <v/>
      </c>
      <c r="H85" s="344">
        <f>IF(Y85=301,"",Y85)</f>
        <v>177</v>
      </c>
      <c r="I85" s="344" t="str">
        <f>IF(Z85=0,"",Z85)</f>
        <v/>
      </c>
      <c r="J85" s="344">
        <f>IF(AA85=301,"",AA85)</f>
        <v>200</v>
      </c>
      <c r="K85" s="344" t="str">
        <f>IF(AB85=0,"",AB85)</f>
        <v/>
      </c>
      <c r="L85" s="344">
        <f>IF(AC85=301,"",AC85)</f>
        <v>214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143</v>
      </c>
      <c r="V85" s="368"/>
      <c r="W85" s="367">
        <f>ABS(INDEX(W:W,MATCH(W82,$S:$S,0)+5)+INDEX(W:W,MATCH(W82,$S:$S,0)+6)+INDEX(W:W,MATCH(W82,$S:$S,0)+7))</f>
        <v>173</v>
      </c>
      <c r="X85" s="368"/>
      <c r="Y85" s="367">
        <f>ABS(INDEX(Y:Y,MATCH(Y82,$S:$S,0)+5)+INDEX(Y:Y,MATCH(Y82,$S:$S,0)+6)+INDEX(Y:Y,MATCH(Y82,$S:$S,0)+7))</f>
        <v>177</v>
      </c>
      <c r="Z85" s="368"/>
      <c r="AA85" s="367">
        <f>ABS(INDEX(AA:AA,MATCH(AA82,$S:$S,0)+5)+INDEX(AA:AA,MATCH(AA82,$S:$S,0)+6)+INDEX(AA:AA,MATCH(AA82,$S:$S,0)+7))</f>
        <v>200</v>
      </c>
      <c r="AB85" s="368"/>
      <c r="AC85" s="367">
        <f>ABS(INDEX(AC:AC,MATCH(AC82,$S:$S,0)+5)+INDEX(AC:AC,MATCH(AC82,$S:$S,0)+6)+INDEX(AC:AC,MATCH(AC82,$S:$S,0)+7))</f>
        <v>214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7"/>
        <v>Spieler 2</v>
      </c>
      <c r="C86" s="372" t="str">
        <f t="shared" si="77"/>
        <v/>
      </c>
      <c r="D86" s="344">
        <f>IF(U86=301,"",U86)</f>
        <v>192</v>
      </c>
      <c r="E86" s="344" t="str">
        <f>IF(V86=0,"",V86)</f>
        <v/>
      </c>
      <c r="F86" s="344">
        <f>IF(W86=301,"",W86)</f>
        <v>184</v>
      </c>
      <c r="G86" s="344" t="str">
        <f>IF(X86=0,"",X86)</f>
        <v/>
      </c>
      <c r="H86" s="344">
        <f>IF(Y86=301,"",Y86)</f>
        <v>145</v>
      </c>
      <c r="I86" s="344" t="str">
        <f>IF(Z86=0,"",Z86)</f>
        <v/>
      </c>
      <c r="J86" s="344">
        <f>IF(AA86=301,"",AA86)</f>
        <v>150</v>
      </c>
      <c r="K86" s="344" t="str">
        <f>IF(AB86=0,"",AB86)</f>
        <v/>
      </c>
      <c r="L86" s="344">
        <f>IF(AC86=301,"",AC86)</f>
        <v>162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192</v>
      </c>
      <c r="V86" s="366"/>
      <c r="W86" s="365">
        <f>ABS(INDEX(W:W,MATCH(W82,$S:$S,0)+8)+INDEX(W:W,MATCH(W82,$S:$S,0)+9)+INDEX(W:W,MATCH(W82,$S:$S,0)+10))</f>
        <v>184</v>
      </c>
      <c r="X86" s="366"/>
      <c r="Y86" s="365">
        <f>ABS(INDEX(Y:Y,MATCH(Y82,$S:$S,0)+8)+INDEX(Y:Y,MATCH(Y82,$S:$S,0)+9)+INDEX(Y:Y,MATCH(Y82,$S:$S,0)+10))</f>
        <v>145</v>
      </c>
      <c r="Z86" s="366"/>
      <c r="AA86" s="365">
        <f>ABS(INDEX(AA:AA,MATCH(AA82,$S:$S,0)+8)+INDEX(AA:AA,MATCH(AA82,$S:$S,0)+9)+INDEX(AA:AA,MATCH(AA82,$S:$S,0)+10))</f>
        <v>150</v>
      </c>
      <c r="AB86" s="366"/>
      <c r="AC86" s="365">
        <f>ABS(INDEX(AC:AC,MATCH(AC82,$S:$S,0)+8)+INDEX(AC:AC,MATCH(AC82,$S:$S,0)+9)+INDEX(AC:AC,MATCH(AC82,$S:$S,0)+10))</f>
        <v>162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7"/>
        <v>Spieler 3</v>
      </c>
      <c r="C87" s="372" t="str">
        <f t="shared" si="77"/>
        <v/>
      </c>
      <c r="D87" s="344">
        <f>IF(U87=301,"",U87)</f>
        <v>193</v>
      </c>
      <c r="E87" s="344" t="str">
        <f>IF(V87=0,"",V87)</f>
        <v/>
      </c>
      <c r="F87" s="344">
        <f>IF(W87=301,"",W87)</f>
        <v>157</v>
      </c>
      <c r="G87" s="344" t="str">
        <f>IF(X87=0,"",X87)</f>
        <v/>
      </c>
      <c r="H87" s="344">
        <f>IF(Y87=301,"",Y87)</f>
        <v>212</v>
      </c>
      <c r="I87" s="344" t="str">
        <f>IF(Z87=0,"",Z87)</f>
        <v/>
      </c>
      <c r="J87" s="344">
        <f>IF(AA87=301,"",AA87)</f>
        <v>188</v>
      </c>
      <c r="K87" s="344" t="str">
        <f>IF(AB87=0,"",AB87)</f>
        <v/>
      </c>
      <c r="L87" s="344">
        <f>IF(AC87=301,"",AC87)</f>
        <v>233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193</v>
      </c>
      <c r="V87" s="366"/>
      <c r="W87" s="365">
        <f>ABS(INDEX(W:W,MATCH(W82,$S:$S,0)+11)+INDEX(W:W,MATCH(W82,$S:$S,0)+12)+INDEX(W:W,MATCH(W82,$S:$S,0)+13))</f>
        <v>157</v>
      </c>
      <c r="X87" s="366"/>
      <c r="Y87" s="365">
        <f>ABS(INDEX(Y:Y,MATCH(Y82,$S:$S,0)+11)+INDEX(Y:Y,MATCH(Y82,$S:$S,0)+12)+INDEX(Y:Y,MATCH(Y82,$S:$S,0)+13))</f>
        <v>212</v>
      </c>
      <c r="Z87" s="366"/>
      <c r="AA87" s="365">
        <f>ABS(INDEX(AA:AA,MATCH(AA82,$S:$S,0)+11)+INDEX(AA:AA,MATCH(AA82,$S:$S,0)+12)+INDEX(AA:AA,MATCH(AA82,$S:$S,0)+13))</f>
        <v>188</v>
      </c>
      <c r="AB87" s="366"/>
      <c r="AC87" s="365">
        <f>ABS(INDEX(AC:AC,MATCH(AC82,$S:$S,0)+11)+INDEX(AC:AC,MATCH(AC82,$S:$S,0)+12)+INDEX(AC:AC,MATCH(AC82,$S:$S,0)+13))</f>
        <v>233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7"/>
        <v>Spieler 4</v>
      </c>
      <c r="C88" s="372" t="str">
        <f t="shared" si="77"/>
        <v/>
      </c>
      <c r="D88" s="344">
        <f>IF(U88=301,"",U88)</f>
        <v>166</v>
      </c>
      <c r="E88" s="344" t="str">
        <f>IF(V88=0,"",V88)</f>
        <v/>
      </c>
      <c r="F88" s="344">
        <f>IF(W88=301,"",W88)</f>
        <v>174</v>
      </c>
      <c r="G88" s="344" t="str">
        <f>IF(X88=0,"",X88)</f>
        <v/>
      </c>
      <c r="H88" s="344">
        <f>IF(Y88=301,"",Y88)</f>
        <v>207</v>
      </c>
      <c r="I88" s="344" t="str">
        <f>IF(Z88=0,"",Z88)</f>
        <v/>
      </c>
      <c r="J88" s="344">
        <f>IF(AA88=301,"",AA88)</f>
        <v>209</v>
      </c>
      <c r="K88" s="344" t="str">
        <f>IF(AB88=0,"",AB88)</f>
        <v/>
      </c>
      <c r="L88" s="344">
        <f>IF(AC88=301,"",AC88)</f>
        <v>176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166</v>
      </c>
      <c r="V88" s="366"/>
      <c r="W88" s="365">
        <f>ABS(INDEX(W:W,MATCH(W82,$S:$S,0)+14)+INDEX(W:W,MATCH(W82,$S:$S,0)+15)+INDEX(W:W,MATCH(W82,$S:$S,0)+16))</f>
        <v>174</v>
      </c>
      <c r="X88" s="366"/>
      <c r="Y88" s="365">
        <f>ABS(INDEX(Y:Y,MATCH(Y82,$S:$S,0)+14)+INDEX(Y:Y,MATCH(Y82,$S:$S,0)+15)+INDEX(Y:Y,MATCH(Y82,$S:$S,0)+16))</f>
        <v>207</v>
      </c>
      <c r="Z88" s="366"/>
      <c r="AA88" s="365">
        <f>ABS(INDEX(AA:AA,MATCH(AA82,$S:$S,0)+14)+INDEX(AA:AA,MATCH(AA82,$S:$S,0)+15)+INDEX(AA:AA,MATCH(AA82,$S:$S,0)+16))</f>
        <v>209</v>
      </c>
      <c r="AB88" s="366"/>
      <c r="AC88" s="365">
        <f>ABS(INDEX(AC:AC,MATCH(AC82,$S:$S,0)+14)+INDEX(AC:AC,MATCH(AC82,$S:$S,0)+15)+INDEX(AC:AC,MATCH(AC82,$S:$S,0)+16))</f>
        <v>176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7"/>
        <v>Gesamt</v>
      </c>
      <c r="C89" s="360" t="str">
        <f t="shared" si="77"/>
        <v/>
      </c>
      <c r="D89" s="343">
        <f>IF(U89=1505,"",U89)</f>
        <v>694</v>
      </c>
      <c r="E89" s="343" t="str">
        <f>IF(V89=0,"",V89)</f>
        <v/>
      </c>
      <c r="F89" s="343">
        <f>IF(W89=1505,"",W89)</f>
        <v>688</v>
      </c>
      <c r="G89" s="343" t="str">
        <f>IF(X89=0,"",X89)</f>
        <v/>
      </c>
      <c r="H89" s="343">
        <f>IF(Y89=1505,"",Y89)</f>
        <v>741</v>
      </c>
      <c r="I89" s="343" t="str">
        <f>IF(Z89=0,"",Z89)</f>
        <v/>
      </c>
      <c r="J89" s="343">
        <f>IF(AA89=1505,"",AA89)</f>
        <v>747</v>
      </c>
      <c r="K89" s="343" t="str">
        <f>IF(AB89=0,"",AB89)</f>
        <v/>
      </c>
      <c r="L89" s="343">
        <f>IF(AC89=1505,"",AC89)</f>
        <v>785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694</v>
      </c>
      <c r="V89" s="360"/>
      <c r="W89" s="359">
        <f>SUM(W85:W88)</f>
        <v>688</v>
      </c>
      <c r="X89" s="360"/>
      <c r="Y89" s="359">
        <f>SUM(Y85:Y88)</f>
        <v>741</v>
      </c>
      <c r="Z89" s="360"/>
      <c r="AA89" s="359">
        <f>SUM(AA85:AA88)</f>
        <v>747</v>
      </c>
      <c r="AB89" s="360"/>
      <c r="AC89" s="359">
        <f>SUM(AC85:AC88)</f>
        <v>785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 t="str">
        <f>AD91</f>
        <v>03.11.</v>
      </c>
      <c r="N91" s="376"/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Schlüssel!$AG$1</f>
        <v>03.11.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">
        <v>1786</v>
      </c>
      <c r="E92" s="84" t="str">
        <f>V92</f>
        <v>Regensburg Super Bowl</v>
      </c>
      <c r="F92" s="77"/>
      <c r="G92" s="77"/>
      <c r="H92" s="77"/>
      <c r="I92" s="77"/>
      <c r="J92" s="77"/>
      <c r="K92" s="77"/>
      <c r="L92" s="29" t="str">
        <f>AC92</f>
        <v>Spieltag:</v>
      </c>
      <c r="M92" s="86">
        <f>AD92</f>
        <v>2</v>
      </c>
      <c r="N92" s="28"/>
      <c r="R92" s="49"/>
      <c r="S92" s="50">
        <v>4</v>
      </c>
      <c r="U92" s="30" t="s">
        <v>1786</v>
      </c>
      <c r="V92" s="84" t="str">
        <f>Schlüssel!$W$2</f>
        <v>Regensburg Super Bowl</v>
      </c>
      <c r="X92" s="77"/>
      <c r="Y92" s="77"/>
      <c r="Z92" s="77"/>
      <c r="AA92" s="77"/>
      <c r="AB92" s="77"/>
      <c r="AC92" s="29" t="s">
        <v>1784</v>
      </c>
      <c r="AD92" s="34">
        <v>2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VLOOKUP(S92,Schlüssel!$A$5:$DZ$10,33)</f>
        <v>9</v>
      </c>
      <c r="W94" s="193" t="s">
        <v>10</v>
      </c>
      <c r="X94" s="191">
        <f>VLOOKUP(S92,Schlüssel!$A$5:$DZ$10,34)</f>
        <v>12</v>
      </c>
      <c r="Y94" s="193" t="s">
        <v>10</v>
      </c>
      <c r="Z94" s="191">
        <f>VLOOKUP(S92,Schlüssel!$A$5:$DZ$10,35)</f>
        <v>8</v>
      </c>
      <c r="AA94" s="193" t="s">
        <v>10</v>
      </c>
      <c r="AB94" s="191">
        <f>VLOOKUP(S92,Schlüssel!$A$5:$DZ$10,36)</f>
        <v>10</v>
      </c>
      <c r="AC94" s="193" t="s">
        <v>10</v>
      </c>
      <c r="AD94" s="192">
        <f>VLOOKUP(S92,Schlüssel!$A$5:$DZ$10,37)</f>
        <v>11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>Eichner, Karl</v>
      </c>
      <c r="C97" s="18">
        <f>IF(T97=0,"",T97)</f>
        <v>7586</v>
      </c>
      <c r="D97" s="14">
        <f>IF(U97=0,"",U97)</f>
        <v>181</v>
      </c>
      <c r="E97" s="352">
        <f>IF(V97="","",V97)</f>
        <v>1</v>
      </c>
      <c r="F97" s="14">
        <f t="shared" ref="F97:F110" si="78">IF(W97=0,"",W97)</f>
        <v>173</v>
      </c>
      <c r="G97" s="352">
        <f>IF(X97="","",X97)</f>
        <v>1</v>
      </c>
      <c r="H97" s="14">
        <f t="shared" ref="H97:H110" si="79">IF(Y97=0,"",Y97)</f>
        <v>156</v>
      </c>
      <c r="I97" s="352">
        <f>IF(Z97="","",Z97)</f>
        <v>0</v>
      </c>
      <c r="J97" s="14">
        <f t="shared" ref="J97:J110" si="80">IF(AA97=0,"",AA97)</f>
        <v>148</v>
      </c>
      <c r="K97" s="352">
        <f>IF(AB97="","",AB97)</f>
        <v>0</v>
      </c>
      <c r="L97" s="14">
        <f t="shared" ref="L97:L110" si="81">IF(AC97=0,"",AC97)</f>
        <v>169</v>
      </c>
      <c r="M97" s="352">
        <f>IF(AD97="","",AD97)</f>
        <v>1</v>
      </c>
      <c r="N97" s="14">
        <f t="shared" ref="N97:N110" si="82">IF(AE97=0,"",AE97)</f>
        <v>827</v>
      </c>
      <c r="O97" s="352">
        <f>IF(AF97="","",AF97)</f>
        <v>3</v>
      </c>
      <c r="R97" s="355" t="s">
        <v>0</v>
      </c>
      <c r="S97" s="68" t="str">
        <f>IF(T97=0,"",VLOOKUP(T97,Starter!$A$1:$D$196,2,FALSE))</f>
        <v>Eichner, Karl</v>
      </c>
      <c r="T97" s="175">
        <v>7586</v>
      </c>
      <c r="U97" s="183">
        <v>181</v>
      </c>
      <c r="V97" s="95">
        <f>IF(SUM(U97:U99)+U115=0,0,IF(ABS(SUM(U97:U99))=U115,0.5,IF(ABS(SUM(U97:U99))&gt;U115,1,0)))</f>
        <v>1</v>
      </c>
      <c r="W97" s="183">
        <v>173</v>
      </c>
      <c r="X97" s="95">
        <f>IF(SUM(W97:W99)+W115=0,0,IF(ABS(SUM(W97:W99))=W115,0.5,IF(ABS(SUM(W97:W99))&gt;W115,1,0)))</f>
        <v>1</v>
      </c>
      <c r="Y97" s="183">
        <v>156</v>
      </c>
      <c r="Z97" s="95">
        <f>IF(SUM(Y97:Y99)+Y115=0,0,IF(ABS(SUM(Y97:Y99))=Y115,0.5,IF(ABS(SUM(Y97:Y99))&gt;Y115,1,0)))</f>
        <v>0</v>
      </c>
      <c r="AA97" s="189">
        <v>148</v>
      </c>
      <c r="AB97" s="95">
        <f>IF(SUM(AA97:AA99)+AA115=0,0,IF(ABS(SUM(AA97:AA99))=AA115,0.5,IF(ABS(SUM(AA97:AA99))&gt;AA115,1,0)))</f>
        <v>0</v>
      </c>
      <c r="AC97" s="183">
        <v>169</v>
      </c>
      <c r="AD97" s="95">
        <f>IF(SUM(AC97:AC99)+AC115=0,0,IF(ABS(SUM(AC97:AC99))=AC115,0.5,IF(ABS(SUM(AC97:AC99))&gt;AC115,1,0)))</f>
        <v>1</v>
      </c>
      <c r="AE97" s="195">
        <f t="shared" ref="AE97:AE108" si="83">ABS(SUM(U97:U97))+ABS(SUM(W97:W97))+ABS(SUM(Y97:Y97))+ABS(SUM(AA97:AA97))+ABS(SUM(AC97:AC97))</f>
        <v>827</v>
      </c>
      <c r="AF97" s="180">
        <f>SUM(V97+X97+Z97+AB97+AD97)</f>
        <v>3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4">T97</f>
        <v>7586</v>
      </c>
      <c r="BE97" s="213">
        <f t="shared" ref="BE97:BE108" si="85">AE97</f>
        <v>827</v>
      </c>
      <c r="BF97" s="215">
        <f t="shared" ref="BF97:BF108" si="86">COUNT(BH97:BL97)</f>
        <v>5</v>
      </c>
      <c r="BG97" s="215">
        <f t="shared" ref="BG97:BG108" si="87">COUNTIF(BH97:BL97,"&gt;0")</f>
        <v>5</v>
      </c>
      <c r="BH97" s="215">
        <f t="shared" ref="BH97:BH108" si="88">IF(U97=0,"",U97)</f>
        <v>181</v>
      </c>
      <c r="BI97" s="215">
        <f t="shared" ref="BI97:BI108" si="89">IF(W97=0,"",W97)</f>
        <v>173</v>
      </c>
      <c r="BJ97" s="215">
        <f t="shared" ref="BJ97:BJ108" si="90">IF(Y97=0,"",Y97)</f>
        <v>156</v>
      </c>
      <c r="BK97" s="215">
        <f t="shared" ref="BK97:BK108" si="91">IF(AA97=0,"",AA97)</f>
        <v>148</v>
      </c>
      <c r="BL97" s="215">
        <f t="shared" ref="BL97:BL108" si="92">IF(AC97=0,"",AC97)</f>
        <v>169</v>
      </c>
      <c r="BM97" s="216"/>
      <c r="BN97" s="214"/>
      <c r="BO97" s="215">
        <f t="shared" ref="BO97:BO108" si="93">MAX(BH97:BL97)</f>
        <v>181</v>
      </c>
      <c r="BP97" s="215">
        <f t="shared" ref="BP97:BP108" si="94">IF(BO97&lt;MAX(BO:BO),0,BO97+ROW()/1000000000)</f>
        <v>0</v>
      </c>
      <c r="BQ97" s="215" t="str">
        <f>+S93</f>
        <v>Kings Club Bayreuth Land 3</v>
      </c>
      <c r="BR97" s="214">
        <f t="shared" ref="BR97:BR108" si="95">RANK(BP97,BP:BP)</f>
        <v>2</v>
      </c>
      <c r="BS97" s="215">
        <f t="shared" ref="BS97:BS108" si="96">SUMIF(BH97:BL97,"&gt;0")</f>
        <v>827</v>
      </c>
      <c r="BT97" s="215">
        <f>IF(COUNTIF(BH97:BL97,"&gt;0")&lt;Spielorte!$A$23,0,BE97/Spielorte!$A$23)</f>
        <v>165.4</v>
      </c>
      <c r="BU97" s="215">
        <f t="shared" ref="BU97:BU108" si="97">IF(BT97&lt;MAX(BT:BT),0,BT97+ROW()/1000000000)</f>
        <v>0</v>
      </c>
      <c r="BV97" s="214">
        <f t="shared" ref="BV97:BV108" si="98">IF(BU97=0,0,RANK(BU97,BU:BU))</f>
        <v>0</v>
      </c>
    </row>
    <row r="98" spans="1:74" ht="17.100000000000001" customHeight="1" x14ac:dyDescent="0.2">
      <c r="A98" s="374"/>
      <c r="B98" s="19" t="str">
        <f t="shared" ref="B98:D110" si="99">IF(S98=0,"",S98)</f>
        <v/>
      </c>
      <c r="C98" s="20" t="str">
        <f t="shared" si="99"/>
        <v/>
      </c>
      <c r="D98" s="15" t="str">
        <f t="shared" si="99"/>
        <v/>
      </c>
      <c r="E98" s="353"/>
      <c r="F98" s="15" t="str">
        <f t="shared" si="78"/>
        <v/>
      </c>
      <c r="G98" s="353"/>
      <c r="H98" s="15" t="str">
        <f t="shared" si="79"/>
        <v/>
      </c>
      <c r="I98" s="353"/>
      <c r="J98" s="15" t="str">
        <f t="shared" si="80"/>
        <v/>
      </c>
      <c r="K98" s="353"/>
      <c r="L98" s="15" t="str">
        <f t="shared" si="81"/>
        <v/>
      </c>
      <c r="M98" s="353"/>
      <c r="N98" s="15" t="str">
        <f t="shared" si="82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3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4"/>
        <v>0</v>
      </c>
      <c r="BE98" s="213">
        <f t="shared" si="85"/>
        <v>0</v>
      </c>
      <c r="BF98" s="215">
        <f t="shared" si="86"/>
        <v>0</v>
      </c>
      <c r="BG98" s="215">
        <f t="shared" si="87"/>
        <v>0</v>
      </c>
      <c r="BH98" s="215" t="str">
        <f t="shared" si="88"/>
        <v/>
      </c>
      <c r="BI98" s="215" t="str">
        <f t="shared" si="89"/>
        <v/>
      </c>
      <c r="BJ98" s="215" t="str">
        <f t="shared" si="90"/>
        <v/>
      </c>
      <c r="BK98" s="215" t="str">
        <f t="shared" si="91"/>
        <v/>
      </c>
      <c r="BL98" s="215" t="str">
        <f t="shared" si="92"/>
        <v/>
      </c>
      <c r="BM98" s="216"/>
      <c r="BN98" s="214"/>
      <c r="BO98" s="215">
        <f t="shared" si="93"/>
        <v>0</v>
      </c>
      <c r="BP98" s="215">
        <f t="shared" si="94"/>
        <v>0</v>
      </c>
      <c r="BQ98" s="215" t="str">
        <f t="shared" ref="BQ98:BQ108" si="100">+BQ97</f>
        <v>Kings Club Bayreuth Land 3</v>
      </c>
      <c r="BR98" s="214">
        <f t="shared" si="95"/>
        <v>2</v>
      </c>
      <c r="BS98" s="215">
        <f t="shared" si="96"/>
        <v>0</v>
      </c>
      <c r="BT98" s="215">
        <f>IF(COUNTIF(BH98:BL98,"&gt;0")&lt;Spielorte!$A$23,0,BE98/Spielorte!$A$23)</f>
        <v>0</v>
      </c>
      <c r="BU98" s="215">
        <f t="shared" si="97"/>
        <v>0</v>
      </c>
      <c r="BV98" s="214">
        <f t="shared" si="98"/>
        <v>0</v>
      </c>
    </row>
    <row r="99" spans="1:74" ht="17.100000000000001" customHeight="1" thickBot="1" x14ac:dyDescent="0.25">
      <c r="A99" s="375"/>
      <c r="B99" s="21" t="str">
        <f t="shared" si="99"/>
        <v/>
      </c>
      <c r="C99" s="22" t="str">
        <f t="shared" si="99"/>
        <v/>
      </c>
      <c r="D99" s="9" t="str">
        <f t="shared" si="99"/>
        <v/>
      </c>
      <c r="E99" s="354"/>
      <c r="F99" s="9" t="str">
        <f t="shared" si="78"/>
        <v/>
      </c>
      <c r="G99" s="354"/>
      <c r="H99" s="9" t="str">
        <f t="shared" si="79"/>
        <v/>
      </c>
      <c r="I99" s="354"/>
      <c r="J99" s="9" t="str">
        <f t="shared" si="80"/>
        <v/>
      </c>
      <c r="K99" s="354"/>
      <c r="L99" s="9" t="str">
        <f t="shared" si="81"/>
        <v/>
      </c>
      <c r="M99" s="354"/>
      <c r="N99" s="9" t="str">
        <f t="shared" si="82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3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4"/>
        <v>0</v>
      </c>
      <c r="BE99" s="213">
        <f t="shared" si="85"/>
        <v>0</v>
      </c>
      <c r="BF99" s="215">
        <f t="shared" si="86"/>
        <v>0</v>
      </c>
      <c r="BG99" s="215">
        <f t="shared" si="87"/>
        <v>0</v>
      </c>
      <c r="BH99" s="215" t="str">
        <f t="shared" si="88"/>
        <v/>
      </c>
      <c r="BI99" s="215" t="str">
        <f t="shared" si="89"/>
        <v/>
      </c>
      <c r="BJ99" s="215" t="str">
        <f t="shared" si="90"/>
        <v/>
      </c>
      <c r="BK99" s="215" t="str">
        <f t="shared" si="91"/>
        <v/>
      </c>
      <c r="BL99" s="215" t="str">
        <f t="shared" si="92"/>
        <v/>
      </c>
      <c r="BM99" s="216"/>
      <c r="BN99" s="214"/>
      <c r="BO99" s="215">
        <f t="shared" si="93"/>
        <v>0</v>
      </c>
      <c r="BP99" s="215">
        <f t="shared" si="94"/>
        <v>0</v>
      </c>
      <c r="BQ99" s="215" t="str">
        <f t="shared" si="100"/>
        <v>Kings Club Bayreuth Land 3</v>
      </c>
      <c r="BR99" s="214">
        <f t="shared" si="95"/>
        <v>2</v>
      </c>
      <c r="BS99" s="215">
        <f t="shared" si="96"/>
        <v>0</v>
      </c>
      <c r="BT99" s="215">
        <f>IF(COUNTIF(BH99:BL99,"&gt;0")&lt;Spielorte!$A$23,0,BE99/Spielorte!$A$23)</f>
        <v>0</v>
      </c>
      <c r="BU99" s="215">
        <f t="shared" si="97"/>
        <v>0</v>
      </c>
      <c r="BV99" s="214">
        <f t="shared" si="98"/>
        <v>0</v>
      </c>
    </row>
    <row r="100" spans="1:74" ht="17.100000000000001" customHeight="1" x14ac:dyDescent="0.2">
      <c r="A100" s="373" t="s">
        <v>2</v>
      </c>
      <c r="B100" s="17" t="str">
        <f t="shared" si="99"/>
        <v>Zahiri, Ali</v>
      </c>
      <c r="C100" s="18">
        <f t="shared" si="99"/>
        <v>38509</v>
      </c>
      <c r="D100" s="14">
        <f t="shared" si="99"/>
        <v>183</v>
      </c>
      <c r="E100" s="352">
        <f>IF(V100="","",V100)</f>
        <v>1</v>
      </c>
      <c r="F100" s="14">
        <f t="shared" si="78"/>
        <v>184</v>
      </c>
      <c r="G100" s="352">
        <f>IF(X100="","",X100)</f>
        <v>1</v>
      </c>
      <c r="H100" s="14">
        <f t="shared" si="79"/>
        <v>162</v>
      </c>
      <c r="I100" s="352">
        <f>IF(Z100="","",Z100)</f>
        <v>1</v>
      </c>
      <c r="J100" s="14">
        <f t="shared" si="80"/>
        <v>213</v>
      </c>
      <c r="K100" s="352">
        <f>IF(AB100="","",AB100)</f>
        <v>1</v>
      </c>
      <c r="L100" s="14">
        <f t="shared" si="81"/>
        <v>176</v>
      </c>
      <c r="M100" s="352">
        <f>IF(AD100="","",AD100)</f>
        <v>1</v>
      </c>
      <c r="N100" s="14">
        <f t="shared" si="82"/>
        <v>918</v>
      </c>
      <c r="O100" s="352">
        <f>IF(AF100="","",AF100)</f>
        <v>5</v>
      </c>
      <c r="R100" s="355" t="s">
        <v>2</v>
      </c>
      <c r="S100" s="68" t="str">
        <f>IF(T100=0,"",VLOOKUP(T100,Starter!$A$1:$D$196,2,FALSE))</f>
        <v>Zahiri, Ali</v>
      </c>
      <c r="T100" s="178">
        <v>38509</v>
      </c>
      <c r="U100" s="186">
        <v>183</v>
      </c>
      <c r="V100" s="95">
        <f>IF(SUM(U100:U102)+U116=0,0,IF(ABS(SUM(U100:U102))=U116,0.5,IF(ABS(SUM(U100:U102))&gt;U116,1,0)))</f>
        <v>1</v>
      </c>
      <c r="W100" s="186">
        <v>184</v>
      </c>
      <c r="X100" s="95">
        <f>IF(SUM(W100:W102)+W116=0,0,IF(ABS(SUM(W100:W102))=W116,0.5,IF(ABS(SUM(W100:W102))&gt;W116,1,0)))</f>
        <v>1</v>
      </c>
      <c r="Y100" s="186">
        <v>162</v>
      </c>
      <c r="Z100" s="95">
        <f>IF(SUM(Y100:Y102)+Y116=0,0,IF(ABS(SUM(Y100:Y102))=Y116,0.5,IF(ABS(SUM(Y100:Y102))&gt;Y116,1,0)))</f>
        <v>1</v>
      </c>
      <c r="AA100" s="186">
        <v>213</v>
      </c>
      <c r="AB100" s="95">
        <f>IF(SUM(AA100:AA102)+AA116=0,0,IF(ABS(SUM(AA100:AA102))=AA116,0.5,IF(ABS(SUM(AA100:AA102))&gt;AA116,1,0)))</f>
        <v>1</v>
      </c>
      <c r="AC100" s="186">
        <v>176</v>
      </c>
      <c r="AD100" s="95">
        <f>IF(SUM(AC100:AC102)+AC116=0,0,IF(ABS(SUM(AC100:AC102))=AC116,0.5,IF(ABS(SUM(AC100:AC102))&gt;AC116,1,0)))</f>
        <v>1</v>
      </c>
      <c r="AE100" s="195">
        <f t="shared" si="83"/>
        <v>918</v>
      </c>
      <c r="AF100" s="180">
        <f>SUM(V100+X100+Z100+AB100+AD100)</f>
        <v>5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4"/>
        <v>38509</v>
      </c>
      <c r="BE100" s="213">
        <f t="shared" si="85"/>
        <v>918</v>
      </c>
      <c r="BF100" s="215">
        <f t="shared" si="86"/>
        <v>5</v>
      </c>
      <c r="BG100" s="215">
        <f t="shared" si="87"/>
        <v>5</v>
      </c>
      <c r="BH100" s="215">
        <f t="shared" si="88"/>
        <v>183</v>
      </c>
      <c r="BI100" s="215">
        <f t="shared" si="89"/>
        <v>184</v>
      </c>
      <c r="BJ100" s="215">
        <f t="shared" si="90"/>
        <v>162</v>
      </c>
      <c r="BK100" s="215">
        <f t="shared" si="91"/>
        <v>213</v>
      </c>
      <c r="BL100" s="215">
        <f t="shared" si="92"/>
        <v>176</v>
      </c>
      <c r="BM100" s="216"/>
      <c r="BN100" s="214"/>
      <c r="BO100" s="215">
        <f t="shared" si="93"/>
        <v>213</v>
      </c>
      <c r="BP100" s="215">
        <f t="shared" si="94"/>
        <v>0</v>
      </c>
      <c r="BQ100" s="215" t="str">
        <f t="shared" si="100"/>
        <v>Kings Club Bayreuth Land 3</v>
      </c>
      <c r="BR100" s="214">
        <f t="shared" si="95"/>
        <v>2</v>
      </c>
      <c r="BS100" s="215">
        <f t="shared" si="96"/>
        <v>918</v>
      </c>
      <c r="BT100" s="215">
        <f>IF(COUNTIF(BH100:BL100,"&gt;0")&lt;Spielorte!$A$23,0,BE100/Spielorte!$A$23)</f>
        <v>183.6</v>
      </c>
      <c r="BU100" s="215">
        <f t="shared" si="97"/>
        <v>0</v>
      </c>
      <c r="BV100" s="214">
        <f t="shared" si="98"/>
        <v>0</v>
      </c>
    </row>
    <row r="101" spans="1:74" ht="17.100000000000001" customHeight="1" x14ac:dyDescent="0.2">
      <c r="A101" s="374"/>
      <c r="B101" s="19" t="str">
        <f t="shared" si="99"/>
        <v/>
      </c>
      <c r="C101" s="20" t="str">
        <f t="shared" si="99"/>
        <v/>
      </c>
      <c r="D101" s="15" t="str">
        <f t="shared" si="99"/>
        <v/>
      </c>
      <c r="E101" s="353"/>
      <c r="F101" s="15" t="str">
        <f t="shared" si="78"/>
        <v/>
      </c>
      <c r="G101" s="353"/>
      <c r="H101" s="15" t="str">
        <f t="shared" si="79"/>
        <v/>
      </c>
      <c r="I101" s="353"/>
      <c r="J101" s="15" t="str">
        <f t="shared" si="80"/>
        <v/>
      </c>
      <c r="K101" s="353"/>
      <c r="L101" s="15" t="str">
        <f t="shared" si="81"/>
        <v/>
      </c>
      <c r="M101" s="353"/>
      <c r="N101" s="15" t="str">
        <f t="shared" si="82"/>
        <v/>
      </c>
      <c r="O101" s="353"/>
      <c r="R101" s="356"/>
      <c r="S101" s="68" t="str">
        <f>IF(T101=0,"",VLOOKUP(T101,Starter!$A$1:$D$196,2,FALSE))</f>
        <v/>
      </c>
      <c r="T101" s="176"/>
      <c r="U101" s="184"/>
      <c r="V101" s="96"/>
      <c r="W101" s="184"/>
      <c r="X101" s="96"/>
      <c r="Y101" s="184"/>
      <c r="Z101" s="96"/>
      <c r="AA101" s="184"/>
      <c r="AB101" s="96"/>
      <c r="AC101" s="184"/>
      <c r="AD101" s="96"/>
      <c r="AE101" s="196">
        <f t="shared" si="83"/>
        <v>0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4"/>
        <v>0</v>
      </c>
      <c r="BE101" s="213">
        <f t="shared" si="85"/>
        <v>0</v>
      </c>
      <c r="BF101" s="215">
        <f t="shared" si="86"/>
        <v>0</v>
      </c>
      <c r="BG101" s="215">
        <f t="shared" si="87"/>
        <v>0</v>
      </c>
      <c r="BH101" s="215" t="str">
        <f t="shared" si="88"/>
        <v/>
      </c>
      <c r="BI101" s="215" t="str">
        <f t="shared" si="89"/>
        <v/>
      </c>
      <c r="BJ101" s="215" t="str">
        <f t="shared" si="90"/>
        <v/>
      </c>
      <c r="BK101" s="215" t="str">
        <f t="shared" si="91"/>
        <v/>
      </c>
      <c r="BL101" s="215" t="str">
        <f t="shared" si="92"/>
        <v/>
      </c>
      <c r="BM101" s="216"/>
      <c r="BN101" s="214"/>
      <c r="BO101" s="215">
        <f t="shared" si="93"/>
        <v>0</v>
      </c>
      <c r="BP101" s="215">
        <f t="shared" si="94"/>
        <v>0</v>
      </c>
      <c r="BQ101" s="215" t="str">
        <f t="shared" si="100"/>
        <v>Kings Club Bayreuth Land 3</v>
      </c>
      <c r="BR101" s="214">
        <f t="shared" si="95"/>
        <v>2</v>
      </c>
      <c r="BS101" s="215">
        <f t="shared" si="96"/>
        <v>0</v>
      </c>
      <c r="BT101" s="215">
        <f>IF(COUNTIF(BH101:BL101,"&gt;0")&lt;Spielorte!$A$23,0,BE101/Spielorte!$A$23)</f>
        <v>0</v>
      </c>
      <c r="BU101" s="215">
        <f t="shared" si="97"/>
        <v>0</v>
      </c>
      <c r="BV101" s="214">
        <f t="shared" si="98"/>
        <v>0</v>
      </c>
    </row>
    <row r="102" spans="1:74" ht="17.100000000000001" customHeight="1" thickBot="1" x14ac:dyDescent="0.25">
      <c r="A102" s="375"/>
      <c r="B102" s="21" t="str">
        <f t="shared" si="99"/>
        <v/>
      </c>
      <c r="C102" s="22" t="str">
        <f t="shared" si="99"/>
        <v/>
      </c>
      <c r="D102" s="9" t="str">
        <f t="shared" si="99"/>
        <v/>
      </c>
      <c r="E102" s="354"/>
      <c r="F102" s="9" t="str">
        <f t="shared" si="78"/>
        <v/>
      </c>
      <c r="G102" s="354"/>
      <c r="H102" s="9" t="str">
        <f t="shared" si="79"/>
        <v/>
      </c>
      <c r="I102" s="354"/>
      <c r="J102" s="9" t="str">
        <f t="shared" si="80"/>
        <v/>
      </c>
      <c r="K102" s="354"/>
      <c r="L102" s="9" t="str">
        <f t="shared" si="81"/>
        <v/>
      </c>
      <c r="M102" s="354"/>
      <c r="N102" s="9" t="str">
        <f t="shared" si="82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3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4"/>
        <v>0</v>
      </c>
      <c r="BE102" s="213">
        <f t="shared" si="85"/>
        <v>0</v>
      </c>
      <c r="BF102" s="215">
        <f t="shared" si="86"/>
        <v>0</v>
      </c>
      <c r="BG102" s="215">
        <f t="shared" si="87"/>
        <v>0</v>
      </c>
      <c r="BH102" s="215" t="str">
        <f t="shared" si="88"/>
        <v/>
      </c>
      <c r="BI102" s="215" t="str">
        <f t="shared" si="89"/>
        <v/>
      </c>
      <c r="BJ102" s="215" t="str">
        <f t="shared" si="90"/>
        <v/>
      </c>
      <c r="BK102" s="215" t="str">
        <f t="shared" si="91"/>
        <v/>
      </c>
      <c r="BL102" s="215" t="str">
        <f t="shared" si="92"/>
        <v/>
      </c>
      <c r="BM102" s="216"/>
      <c r="BN102" s="214"/>
      <c r="BO102" s="215">
        <f t="shared" si="93"/>
        <v>0</v>
      </c>
      <c r="BP102" s="215">
        <f t="shared" si="94"/>
        <v>0</v>
      </c>
      <c r="BQ102" s="215" t="str">
        <f t="shared" si="100"/>
        <v>Kings Club Bayreuth Land 3</v>
      </c>
      <c r="BR102" s="214">
        <f t="shared" si="95"/>
        <v>2</v>
      </c>
      <c r="BS102" s="215">
        <f t="shared" si="96"/>
        <v>0</v>
      </c>
      <c r="BT102" s="215">
        <f>IF(COUNTIF(BH102:BL102,"&gt;0")&lt;Spielorte!$A$23,0,BE102/Spielorte!$A$23)</f>
        <v>0</v>
      </c>
      <c r="BU102" s="215">
        <f t="shared" si="97"/>
        <v>0</v>
      </c>
      <c r="BV102" s="214">
        <f t="shared" si="98"/>
        <v>0</v>
      </c>
    </row>
    <row r="103" spans="1:74" ht="17.100000000000001" customHeight="1" x14ac:dyDescent="0.2">
      <c r="A103" s="373" t="s">
        <v>3</v>
      </c>
      <c r="B103" s="17" t="str">
        <f t="shared" si="99"/>
        <v>Sommerer, Stefan</v>
      </c>
      <c r="C103" s="18">
        <f t="shared" si="99"/>
        <v>38823</v>
      </c>
      <c r="D103" s="14">
        <f t="shared" si="99"/>
        <v>179</v>
      </c>
      <c r="E103" s="352">
        <f>IF(V103="","",V103)</f>
        <v>0</v>
      </c>
      <c r="F103" s="14">
        <f t="shared" si="78"/>
        <v>157</v>
      </c>
      <c r="G103" s="352">
        <f>IF(X103="","",X103)</f>
        <v>0</v>
      </c>
      <c r="H103" s="14">
        <f t="shared" si="79"/>
        <v>166</v>
      </c>
      <c r="I103" s="352">
        <f>IF(Z103="","",Z103)</f>
        <v>0</v>
      </c>
      <c r="J103" s="14">
        <f t="shared" si="80"/>
        <v>218</v>
      </c>
      <c r="K103" s="352">
        <f>IF(AB103="","",AB103)</f>
        <v>1</v>
      </c>
      <c r="L103" s="14">
        <f t="shared" si="81"/>
        <v>148</v>
      </c>
      <c r="M103" s="352">
        <f>IF(AD103="","",AD103)</f>
        <v>1</v>
      </c>
      <c r="N103" s="14">
        <f t="shared" si="82"/>
        <v>868</v>
      </c>
      <c r="O103" s="352">
        <f>IF(AF103="","",AF103)</f>
        <v>2</v>
      </c>
      <c r="R103" s="355" t="s">
        <v>3</v>
      </c>
      <c r="S103" s="68" t="str">
        <f>IF(T103=0,"",VLOOKUP(T103,Starter!$A$1:$D$196,2,FALSE))</f>
        <v>Sommerer, Stefan</v>
      </c>
      <c r="T103" s="178">
        <v>38823</v>
      </c>
      <c r="U103" s="186">
        <v>179</v>
      </c>
      <c r="V103" s="95">
        <f>IF(SUM(U103:U105)+U117=0,0,IF(ABS(SUM(U103:U105))=U117,0.5,IF(ABS(SUM(U103:U105))&gt;U117,1,0)))</f>
        <v>0</v>
      </c>
      <c r="W103" s="186">
        <v>157</v>
      </c>
      <c r="X103" s="95">
        <f>IF(SUM(W103:W105)+W117=0,0,IF(ABS(SUM(W103:W105))=W117,0.5,IF(ABS(SUM(W103:W105))&gt;W117,1,0)))</f>
        <v>0</v>
      </c>
      <c r="Y103" s="186">
        <v>166</v>
      </c>
      <c r="Z103" s="95">
        <f>IF(SUM(Y103:Y105)+Y117=0,0,IF(ABS(SUM(Y103:Y105))=Y117,0.5,IF(ABS(SUM(Y103:Y105))&gt;Y117,1,0)))</f>
        <v>0</v>
      </c>
      <c r="AA103" s="186">
        <v>218</v>
      </c>
      <c r="AB103" s="95">
        <f>IF(SUM(AA103:AA105)+AA117=0,0,IF(ABS(SUM(AA103:AA105))=AA117,0.5,IF(ABS(SUM(AA103:AA105))&gt;AA117,1,0)))</f>
        <v>1</v>
      </c>
      <c r="AC103" s="186">
        <v>148</v>
      </c>
      <c r="AD103" s="95">
        <f>IF(SUM(AC103:AC105)+AC117=0,0,IF(ABS(SUM(AC103:AC105))=AC117,0.5,IF(ABS(SUM(AC103:AC105))&gt;AC117,1,0)))</f>
        <v>1</v>
      </c>
      <c r="AE103" s="195">
        <f t="shared" si="83"/>
        <v>868</v>
      </c>
      <c r="AF103" s="180">
        <f>SUM(V103+X103+Z103+AB103+AD103)</f>
        <v>2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4"/>
        <v>38823</v>
      </c>
      <c r="BE103" s="213">
        <f t="shared" si="85"/>
        <v>868</v>
      </c>
      <c r="BF103" s="215">
        <f t="shared" si="86"/>
        <v>5</v>
      </c>
      <c r="BG103" s="215">
        <f t="shared" si="87"/>
        <v>5</v>
      </c>
      <c r="BH103" s="215">
        <f t="shared" si="88"/>
        <v>179</v>
      </c>
      <c r="BI103" s="215">
        <f t="shared" si="89"/>
        <v>157</v>
      </c>
      <c r="BJ103" s="215">
        <f t="shared" si="90"/>
        <v>166</v>
      </c>
      <c r="BK103" s="215">
        <f t="shared" si="91"/>
        <v>218</v>
      </c>
      <c r="BL103" s="215">
        <f t="shared" si="92"/>
        <v>148</v>
      </c>
      <c r="BM103" s="216"/>
      <c r="BN103" s="214"/>
      <c r="BO103" s="215">
        <f t="shared" si="93"/>
        <v>218</v>
      </c>
      <c r="BP103" s="215">
        <f t="shared" si="94"/>
        <v>0</v>
      </c>
      <c r="BQ103" s="215" t="str">
        <f t="shared" si="100"/>
        <v>Kings Club Bayreuth Land 3</v>
      </c>
      <c r="BR103" s="214">
        <f t="shared" si="95"/>
        <v>2</v>
      </c>
      <c r="BS103" s="215">
        <f t="shared" si="96"/>
        <v>868</v>
      </c>
      <c r="BT103" s="215">
        <f>IF(COUNTIF(BH103:BL103,"&gt;0")&lt;Spielorte!$A$23,0,BE103/Spielorte!$A$23)</f>
        <v>173.6</v>
      </c>
      <c r="BU103" s="215">
        <f t="shared" si="97"/>
        <v>0</v>
      </c>
      <c r="BV103" s="214">
        <f t="shared" si="98"/>
        <v>0</v>
      </c>
    </row>
    <row r="104" spans="1:74" ht="17.100000000000001" customHeight="1" x14ac:dyDescent="0.2">
      <c r="A104" s="374"/>
      <c r="B104" s="19" t="str">
        <f t="shared" si="99"/>
        <v/>
      </c>
      <c r="C104" s="20" t="str">
        <f t="shared" si="99"/>
        <v/>
      </c>
      <c r="D104" s="15" t="str">
        <f t="shared" si="99"/>
        <v/>
      </c>
      <c r="E104" s="353"/>
      <c r="F104" s="15" t="str">
        <f t="shared" si="78"/>
        <v/>
      </c>
      <c r="G104" s="353"/>
      <c r="H104" s="15" t="str">
        <f t="shared" si="79"/>
        <v/>
      </c>
      <c r="I104" s="353"/>
      <c r="J104" s="15" t="str">
        <f t="shared" si="80"/>
        <v/>
      </c>
      <c r="K104" s="353"/>
      <c r="L104" s="15" t="str">
        <f t="shared" si="81"/>
        <v/>
      </c>
      <c r="M104" s="353"/>
      <c r="N104" s="15" t="str">
        <f t="shared" si="82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3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4"/>
        <v>0</v>
      </c>
      <c r="BE104" s="213">
        <f t="shared" si="85"/>
        <v>0</v>
      </c>
      <c r="BF104" s="215">
        <f t="shared" si="86"/>
        <v>0</v>
      </c>
      <c r="BG104" s="215">
        <f t="shared" si="87"/>
        <v>0</v>
      </c>
      <c r="BH104" s="215" t="str">
        <f t="shared" si="88"/>
        <v/>
      </c>
      <c r="BI104" s="215" t="str">
        <f t="shared" si="89"/>
        <v/>
      </c>
      <c r="BJ104" s="215" t="str">
        <f t="shared" si="90"/>
        <v/>
      </c>
      <c r="BK104" s="215" t="str">
        <f t="shared" si="91"/>
        <v/>
      </c>
      <c r="BL104" s="215" t="str">
        <f t="shared" si="92"/>
        <v/>
      </c>
      <c r="BM104" s="216"/>
      <c r="BN104" s="214"/>
      <c r="BO104" s="215">
        <f t="shared" si="93"/>
        <v>0</v>
      </c>
      <c r="BP104" s="215">
        <f t="shared" si="94"/>
        <v>0</v>
      </c>
      <c r="BQ104" s="215" t="str">
        <f t="shared" si="100"/>
        <v>Kings Club Bayreuth Land 3</v>
      </c>
      <c r="BR104" s="214">
        <f t="shared" si="95"/>
        <v>2</v>
      </c>
      <c r="BS104" s="215">
        <f t="shared" si="96"/>
        <v>0</v>
      </c>
      <c r="BT104" s="215">
        <f>IF(COUNTIF(BH104:BL104,"&gt;0")&lt;Spielorte!$A$23,0,BE104/Spielorte!$A$23)</f>
        <v>0</v>
      </c>
      <c r="BU104" s="215">
        <f t="shared" si="97"/>
        <v>0</v>
      </c>
      <c r="BV104" s="214">
        <f t="shared" si="98"/>
        <v>0</v>
      </c>
    </row>
    <row r="105" spans="1:74" ht="17.100000000000001" customHeight="1" thickBot="1" x14ac:dyDescent="0.25">
      <c r="A105" s="375"/>
      <c r="B105" s="21" t="str">
        <f t="shared" si="99"/>
        <v/>
      </c>
      <c r="C105" s="22" t="str">
        <f t="shared" si="99"/>
        <v/>
      </c>
      <c r="D105" s="9" t="str">
        <f t="shared" si="99"/>
        <v/>
      </c>
      <c r="E105" s="354"/>
      <c r="F105" s="9" t="str">
        <f t="shared" si="78"/>
        <v/>
      </c>
      <c r="G105" s="354"/>
      <c r="H105" s="9" t="str">
        <f t="shared" si="79"/>
        <v/>
      </c>
      <c r="I105" s="354"/>
      <c r="J105" s="9" t="str">
        <f t="shared" si="80"/>
        <v/>
      </c>
      <c r="K105" s="354"/>
      <c r="L105" s="9" t="str">
        <f t="shared" si="81"/>
        <v/>
      </c>
      <c r="M105" s="354"/>
      <c r="N105" s="9" t="str">
        <f t="shared" si="82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3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4"/>
        <v>0</v>
      </c>
      <c r="BE105" s="213">
        <f t="shared" si="85"/>
        <v>0</v>
      </c>
      <c r="BF105" s="215">
        <f t="shared" si="86"/>
        <v>0</v>
      </c>
      <c r="BG105" s="215">
        <f t="shared" si="87"/>
        <v>0</v>
      </c>
      <c r="BH105" s="215" t="str">
        <f t="shared" si="88"/>
        <v/>
      </c>
      <c r="BI105" s="215" t="str">
        <f t="shared" si="89"/>
        <v/>
      </c>
      <c r="BJ105" s="215" t="str">
        <f t="shared" si="90"/>
        <v/>
      </c>
      <c r="BK105" s="215" t="str">
        <f t="shared" si="91"/>
        <v/>
      </c>
      <c r="BL105" s="215" t="str">
        <f t="shared" si="92"/>
        <v/>
      </c>
      <c r="BM105" s="216"/>
      <c r="BN105" s="214"/>
      <c r="BO105" s="215">
        <f t="shared" si="93"/>
        <v>0</v>
      </c>
      <c r="BP105" s="215">
        <f t="shared" si="94"/>
        <v>0</v>
      </c>
      <c r="BQ105" s="215" t="str">
        <f t="shared" si="100"/>
        <v>Kings Club Bayreuth Land 3</v>
      </c>
      <c r="BR105" s="214">
        <f t="shared" si="95"/>
        <v>2</v>
      </c>
      <c r="BS105" s="215">
        <f t="shared" si="96"/>
        <v>0</v>
      </c>
      <c r="BT105" s="215">
        <f>IF(COUNTIF(BH105:BL105,"&gt;0")&lt;Spielorte!$A$23,0,BE105/Spielorte!$A$23)</f>
        <v>0</v>
      </c>
      <c r="BU105" s="215">
        <f t="shared" si="97"/>
        <v>0</v>
      </c>
      <c r="BV105" s="214">
        <f t="shared" si="98"/>
        <v>0</v>
      </c>
    </row>
    <row r="106" spans="1:74" ht="17.100000000000001" customHeight="1" x14ac:dyDescent="0.2">
      <c r="A106" s="373" t="s">
        <v>11</v>
      </c>
      <c r="B106" s="17" t="str">
        <f>IF(S106=0,"",S106)</f>
        <v>Fischer, Nick</v>
      </c>
      <c r="C106" s="18">
        <f t="shared" si="99"/>
        <v>9936</v>
      </c>
      <c r="D106" s="14">
        <f t="shared" si="99"/>
        <v>142</v>
      </c>
      <c r="E106" s="352">
        <f>IF(V106="","",V106)</f>
        <v>0</v>
      </c>
      <c r="F106" s="14">
        <f t="shared" si="78"/>
        <v>174</v>
      </c>
      <c r="G106" s="352">
        <f>IF(X106="","",X106)</f>
        <v>1</v>
      </c>
      <c r="H106" s="14">
        <f t="shared" si="79"/>
        <v>172</v>
      </c>
      <c r="I106" s="352">
        <f>IF(Z106="","",Z106)</f>
        <v>0</v>
      </c>
      <c r="J106" s="14">
        <f t="shared" si="80"/>
        <v>157</v>
      </c>
      <c r="K106" s="352">
        <f>IF(AB106="","",AB106)</f>
        <v>1</v>
      </c>
      <c r="L106" s="14">
        <f t="shared" si="81"/>
        <v>184</v>
      </c>
      <c r="M106" s="352">
        <f>IF(AD106="","",AD106)</f>
        <v>1</v>
      </c>
      <c r="N106" s="14">
        <f t="shared" si="82"/>
        <v>829</v>
      </c>
      <c r="O106" s="352">
        <f>IF(AF106="","",AF106)</f>
        <v>3</v>
      </c>
      <c r="R106" s="355" t="s">
        <v>11</v>
      </c>
      <c r="S106" s="68" t="str">
        <f>IF(T106=0,"",VLOOKUP(T106,Starter!$A$1:$D$196,2,FALSE))</f>
        <v>Fischer, Nick</v>
      </c>
      <c r="T106" s="178">
        <v>9936</v>
      </c>
      <c r="U106" s="186">
        <v>142</v>
      </c>
      <c r="V106" s="95">
        <f>IF(SUM(U106:U108)+U118=0,0,IF(ABS(SUM(U106:U108))=U118,0.5,IF(ABS(SUM(U106:U108))&gt;U118,1,0)))</f>
        <v>0</v>
      </c>
      <c r="W106" s="186">
        <v>174</v>
      </c>
      <c r="X106" s="95">
        <f>IF(SUM(W106:W108)+W118=0,0,IF(ABS(SUM(W106:W108))=W118,0.5,IF(ABS(SUM(W106:W108))&gt;W118,1,0)))</f>
        <v>1</v>
      </c>
      <c r="Y106" s="186">
        <v>172</v>
      </c>
      <c r="Z106" s="95">
        <f>IF(SUM(Y106:Y108)+Y118=0,0,IF(ABS(SUM(Y106:Y108))=Y118,0.5,IF(ABS(SUM(Y106:Y108))&gt;Y118,1,0)))</f>
        <v>0</v>
      </c>
      <c r="AA106" s="186">
        <v>157</v>
      </c>
      <c r="AB106" s="95">
        <f>IF(SUM(AA106:AA108)+AA118=0,0,IF(ABS(SUM(AA106:AA108))=AA118,0.5,IF(ABS(SUM(AA106:AA108))&gt;AA118,1,0)))</f>
        <v>1</v>
      </c>
      <c r="AC106" s="186">
        <v>184</v>
      </c>
      <c r="AD106" s="95">
        <f>IF(SUM(AC106:AC108)+AC118=0,0,IF(ABS(SUM(AC106:AC108))=AC118,0.5,IF(ABS(SUM(AC106:AC108))&gt;AC118,1,0)))</f>
        <v>1</v>
      </c>
      <c r="AE106" s="195">
        <f t="shared" si="83"/>
        <v>829</v>
      </c>
      <c r="AF106" s="180">
        <f>SUM(V106+X106+Z106+AB106+AD106)</f>
        <v>3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4"/>
        <v>9936</v>
      </c>
      <c r="BE106" s="213">
        <f t="shared" si="85"/>
        <v>829</v>
      </c>
      <c r="BF106" s="215">
        <f t="shared" si="86"/>
        <v>5</v>
      </c>
      <c r="BG106" s="215">
        <f t="shared" si="87"/>
        <v>5</v>
      </c>
      <c r="BH106" s="215">
        <f t="shared" si="88"/>
        <v>142</v>
      </c>
      <c r="BI106" s="215">
        <f t="shared" si="89"/>
        <v>174</v>
      </c>
      <c r="BJ106" s="215">
        <f t="shared" si="90"/>
        <v>172</v>
      </c>
      <c r="BK106" s="215">
        <f t="shared" si="91"/>
        <v>157</v>
      </c>
      <c r="BL106" s="215">
        <f t="shared" si="92"/>
        <v>184</v>
      </c>
      <c r="BM106" s="216"/>
      <c r="BN106" s="214"/>
      <c r="BO106" s="215">
        <f t="shared" si="93"/>
        <v>184</v>
      </c>
      <c r="BP106" s="215">
        <f t="shared" si="94"/>
        <v>0</v>
      </c>
      <c r="BQ106" s="215" t="str">
        <f t="shared" si="100"/>
        <v>Kings Club Bayreuth Land 3</v>
      </c>
      <c r="BR106" s="214">
        <f t="shared" si="95"/>
        <v>2</v>
      </c>
      <c r="BS106" s="215">
        <f t="shared" si="96"/>
        <v>829</v>
      </c>
      <c r="BT106" s="215">
        <f>IF(COUNTIF(BH106:BL106,"&gt;0")&lt;Spielorte!$A$23,0,BE106/Spielorte!$A$23)</f>
        <v>165.8</v>
      </c>
      <c r="BU106" s="215">
        <f t="shared" si="97"/>
        <v>0</v>
      </c>
      <c r="BV106" s="214">
        <f t="shared" si="98"/>
        <v>0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99"/>
        <v/>
      </c>
      <c r="D107" s="15" t="str">
        <f t="shared" si="99"/>
        <v/>
      </c>
      <c r="E107" s="353"/>
      <c r="F107" s="15" t="str">
        <f t="shared" si="78"/>
        <v/>
      </c>
      <c r="G107" s="353"/>
      <c r="H107" s="15" t="str">
        <f t="shared" si="79"/>
        <v/>
      </c>
      <c r="I107" s="353"/>
      <c r="J107" s="15" t="str">
        <f t="shared" si="80"/>
        <v/>
      </c>
      <c r="K107" s="353"/>
      <c r="L107" s="15" t="str">
        <f t="shared" si="81"/>
        <v/>
      </c>
      <c r="M107" s="353"/>
      <c r="N107" s="15" t="str">
        <f t="shared" si="82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3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4"/>
        <v>0</v>
      </c>
      <c r="BE107" s="213">
        <f t="shared" si="85"/>
        <v>0</v>
      </c>
      <c r="BF107" s="215">
        <f t="shared" si="86"/>
        <v>0</v>
      </c>
      <c r="BG107" s="215">
        <f t="shared" si="87"/>
        <v>0</v>
      </c>
      <c r="BH107" s="215" t="str">
        <f t="shared" si="88"/>
        <v/>
      </c>
      <c r="BI107" s="215" t="str">
        <f t="shared" si="89"/>
        <v/>
      </c>
      <c r="BJ107" s="215" t="str">
        <f t="shared" si="90"/>
        <v/>
      </c>
      <c r="BK107" s="215" t="str">
        <f t="shared" si="91"/>
        <v/>
      </c>
      <c r="BL107" s="215" t="str">
        <f t="shared" si="92"/>
        <v/>
      </c>
      <c r="BM107" s="216"/>
      <c r="BN107" s="214"/>
      <c r="BO107" s="215">
        <f t="shared" si="93"/>
        <v>0</v>
      </c>
      <c r="BP107" s="215">
        <f t="shared" si="94"/>
        <v>0</v>
      </c>
      <c r="BQ107" s="215" t="str">
        <f t="shared" si="100"/>
        <v>Kings Club Bayreuth Land 3</v>
      </c>
      <c r="BR107" s="214">
        <f t="shared" si="95"/>
        <v>2</v>
      </c>
      <c r="BS107" s="215">
        <f t="shared" si="96"/>
        <v>0</v>
      </c>
      <c r="BT107" s="215">
        <f>IF(COUNTIF(BH107:BL107,"&gt;0")&lt;Spielorte!$A$23,0,BE107/Spielorte!$A$23)</f>
        <v>0</v>
      </c>
      <c r="BU107" s="215">
        <f t="shared" si="97"/>
        <v>0</v>
      </c>
      <c r="BV107" s="214">
        <f t="shared" si="98"/>
        <v>0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99"/>
        <v/>
      </c>
      <c r="D108" s="9" t="str">
        <f t="shared" si="99"/>
        <v/>
      </c>
      <c r="E108" s="354"/>
      <c r="F108" s="9" t="str">
        <f t="shared" si="78"/>
        <v/>
      </c>
      <c r="G108" s="354"/>
      <c r="H108" s="9" t="str">
        <f t="shared" si="79"/>
        <v/>
      </c>
      <c r="I108" s="354"/>
      <c r="J108" s="9" t="str">
        <f t="shared" si="80"/>
        <v/>
      </c>
      <c r="K108" s="354"/>
      <c r="L108" s="9" t="str">
        <f t="shared" si="81"/>
        <v/>
      </c>
      <c r="M108" s="354"/>
      <c r="N108" s="9" t="str">
        <f t="shared" si="82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3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4"/>
        <v>0</v>
      </c>
      <c r="BE108" s="213">
        <f t="shared" si="85"/>
        <v>0</v>
      </c>
      <c r="BF108" s="215">
        <f t="shared" si="86"/>
        <v>0</v>
      </c>
      <c r="BG108" s="215">
        <f t="shared" si="87"/>
        <v>0</v>
      </c>
      <c r="BH108" s="215" t="str">
        <f t="shared" si="88"/>
        <v/>
      </c>
      <c r="BI108" s="215" t="str">
        <f t="shared" si="89"/>
        <v/>
      </c>
      <c r="BJ108" s="215" t="str">
        <f t="shared" si="90"/>
        <v/>
      </c>
      <c r="BK108" s="215" t="str">
        <f t="shared" si="91"/>
        <v/>
      </c>
      <c r="BL108" s="215" t="str">
        <f t="shared" si="92"/>
        <v/>
      </c>
      <c r="BM108" s="216"/>
      <c r="BN108" s="214"/>
      <c r="BO108" s="215">
        <f t="shared" si="93"/>
        <v>0</v>
      </c>
      <c r="BP108" s="215">
        <f t="shared" si="94"/>
        <v>0</v>
      </c>
      <c r="BQ108" s="215" t="str">
        <f t="shared" si="100"/>
        <v>Kings Club Bayreuth Land 3</v>
      </c>
      <c r="BR108" s="214">
        <f t="shared" si="95"/>
        <v>2</v>
      </c>
      <c r="BS108" s="215">
        <f t="shared" si="96"/>
        <v>0</v>
      </c>
      <c r="BT108" s="215">
        <f>IF(COUNTIF(BH108:BL108,"&gt;0")&lt;Spielorte!$A$23,0,BE108/Spielorte!$A$23)</f>
        <v>0</v>
      </c>
      <c r="BU108" s="215">
        <f t="shared" si="97"/>
        <v>0</v>
      </c>
      <c r="BV108" s="214">
        <f t="shared" si="98"/>
        <v>0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99"/>
        <v/>
      </c>
      <c r="D109" s="16">
        <f t="shared" si="99"/>
        <v>685</v>
      </c>
      <c r="E109" s="12">
        <f>IF(V109="","",V109)</f>
        <v>0</v>
      </c>
      <c r="F109" s="16">
        <f t="shared" si="78"/>
        <v>688</v>
      </c>
      <c r="G109" s="12">
        <f>IF(X109="","",X109)</f>
        <v>2</v>
      </c>
      <c r="H109" s="16">
        <f t="shared" si="79"/>
        <v>656</v>
      </c>
      <c r="I109" s="12">
        <f>IF(Z109="","",Z109)</f>
        <v>0</v>
      </c>
      <c r="J109" s="16">
        <f t="shared" si="80"/>
        <v>736</v>
      </c>
      <c r="K109" s="12">
        <f>IF(AB109="","",AB109)</f>
        <v>2</v>
      </c>
      <c r="L109" s="16">
        <f t="shared" si="81"/>
        <v>677</v>
      </c>
      <c r="M109" s="12">
        <f>IF(AD109="","",AD109)</f>
        <v>2</v>
      </c>
      <c r="N109" s="16">
        <f t="shared" si="82"/>
        <v>3442</v>
      </c>
      <c r="O109" s="12">
        <f>IF(AF109="","",AF109)</f>
        <v>6</v>
      </c>
      <c r="S109" s="11" t="s">
        <v>1791</v>
      </c>
      <c r="T109" s="71"/>
      <c r="U109" s="188">
        <f>ABS(SUM(U97:U99))+ABS(SUM(U100:U102))+ABS(SUM(U103:U105))+ABS(SUM(U106:U108))</f>
        <v>685</v>
      </c>
      <c r="V109" s="98">
        <f>IF(U109+U119=0,0,IF(U109=U119,1,IF(U109&gt;U119,2,0)))</f>
        <v>0</v>
      </c>
      <c r="W109" s="188">
        <f>ABS(SUM(W97:W99))+ABS(SUM(W100:W102))+ABS(SUM(W103:W105))+ABS(SUM(W106:W108))</f>
        <v>688</v>
      </c>
      <c r="X109" s="98">
        <f>IF(W109+W119=0,0,IF(W109=W119,1,IF(W109&gt;W119,2,0)))</f>
        <v>2</v>
      </c>
      <c r="Y109" s="188">
        <f>ABS(SUM(Y97:Y99))+ABS(SUM(Y100:Y102))+ABS(SUM(Y103:Y105))+ABS(SUM(Y106:Y108))</f>
        <v>656</v>
      </c>
      <c r="Z109" s="98">
        <f>IF(Y109+Y119=0,0,IF(Y109=Y119,1,IF(Y109&gt;Y119,2,0)))</f>
        <v>0</v>
      </c>
      <c r="AA109" s="188">
        <f>ABS(SUM(AA97:AA99))+ABS(SUM(AA100:AA102))+ABS(SUM(AA103:AA105))+ABS(SUM(AA106:AA108))</f>
        <v>736</v>
      </c>
      <c r="AB109" s="98">
        <f>IF(AA109+AA119=0,0,IF(AA109=AA119,1,IF(AA109&gt;AA119,2,0)))</f>
        <v>2</v>
      </c>
      <c r="AC109" s="188">
        <f>ABS(SUM(AC97:AC99))+ABS(SUM(AC100:AC102))+ABS(SUM(AC103:AC105))+ABS(SUM(AC106:AC108))</f>
        <v>677</v>
      </c>
      <c r="AD109" s="98">
        <f>IF(AC109+AC119=0,0,IF(AC109=AC119,1,IF(AC109&gt;AC119,2,0)))</f>
        <v>2</v>
      </c>
      <c r="AE109" s="198">
        <f>SUM(U109+W109+Y109+AA109+AC109)</f>
        <v>3442</v>
      </c>
      <c r="AF109" s="12">
        <f>SUM(V109+X109+Z109+AB109+AD109)</f>
        <v>6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99"/>
        <v/>
      </c>
      <c r="D110" s="1" t="str">
        <f t="shared" si="99"/>
        <v/>
      </c>
      <c r="E110" s="23">
        <f>IF(V110="","",V110)</f>
        <v>2</v>
      </c>
      <c r="F110" s="1" t="str">
        <f t="shared" si="78"/>
        <v/>
      </c>
      <c r="G110" s="23">
        <f>IF(X110="","",X110)</f>
        <v>5</v>
      </c>
      <c r="H110" s="1" t="str">
        <f t="shared" si="79"/>
        <v/>
      </c>
      <c r="I110" s="23">
        <f>IF(Z110="","",Z110)</f>
        <v>1</v>
      </c>
      <c r="J110" s="1" t="str">
        <f t="shared" si="80"/>
        <v/>
      </c>
      <c r="K110" s="23">
        <f>IF(AB110="","",AB110)</f>
        <v>5</v>
      </c>
      <c r="L110" s="1" t="str">
        <f t="shared" si="81"/>
        <v/>
      </c>
      <c r="M110" s="23">
        <f>IF(AD110="","",AD110)</f>
        <v>6</v>
      </c>
      <c r="N110" s="1" t="str">
        <f t="shared" si="82"/>
        <v/>
      </c>
      <c r="O110" s="23">
        <f>IF(AF110="","",AF110)</f>
        <v>19</v>
      </c>
      <c r="S110" s="8" t="s">
        <v>1802</v>
      </c>
      <c r="T110" s="1"/>
      <c r="U110" s="1"/>
      <c r="V110" s="72">
        <f>SUM(V97:V109)</f>
        <v>2</v>
      </c>
      <c r="W110" s="1"/>
      <c r="X110" s="72">
        <f>SUM(X97:X109)</f>
        <v>5</v>
      </c>
      <c r="Y110" s="1"/>
      <c r="Z110" s="72">
        <f>SUM(Z97:Z109)</f>
        <v>1</v>
      </c>
      <c r="AA110" s="1"/>
      <c r="AB110" s="72">
        <f>SUM(AB97:AB109)</f>
        <v>5</v>
      </c>
      <c r="AC110" s="1"/>
      <c r="AD110" s="72">
        <f>SUM(AD97:AD109)</f>
        <v>6</v>
      </c>
      <c r="AE110" s="1"/>
      <c r="AF110" s="72">
        <f>SUM(AF97:AF109)</f>
        <v>19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19</v>
      </c>
      <c r="BB110" s="213">
        <f>AE109</f>
        <v>3442</v>
      </c>
      <c r="BC110" s="214">
        <f>+S92</f>
        <v>4</v>
      </c>
      <c r="BF110" s="215">
        <f>SUM(BF91:BF109)</f>
        <v>20</v>
      </c>
      <c r="BM110" s="212">
        <f>+BB110/1000000+BA110</f>
        <v>19.003442</v>
      </c>
      <c r="BN110" s="214">
        <f>RANK(BM110,BM:BM)</f>
        <v>2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M112" si="101">IF(S112=0,"",S112)</f>
        <v>Gegner-Nr.:</v>
      </c>
      <c r="C112" s="5" t="str">
        <f t="shared" si="101"/>
        <v>&gt;&gt;&gt;&gt;</v>
      </c>
      <c r="D112" s="350">
        <f t="shared" si="101"/>
        <v>5</v>
      </c>
      <c r="E112" s="350" t="str">
        <f t="shared" si="101"/>
        <v/>
      </c>
      <c r="F112" s="350">
        <f t="shared" si="101"/>
        <v>3</v>
      </c>
      <c r="G112" s="350" t="str">
        <f t="shared" si="101"/>
        <v/>
      </c>
      <c r="H112" s="350">
        <f t="shared" si="101"/>
        <v>1</v>
      </c>
      <c r="I112" s="350" t="str">
        <f t="shared" si="101"/>
        <v/>
      </c>
      <c r="J112" s="350">
        <f t="shared" si="101"/>
        <v>2</v>
      </c>
      <c r="K112" s="350" t="str">
        <f t="shared" si="101"/>
        <v/>
      </c>
      <c r="L112" s="350">
        <f t="shared" si="101"/>
        <v>6</v>
      </c>
      <c r="M112" s="350" t="str">
        <f t="shared" si="101"/>
        <v/>
      </c>
      <c r="N112" s="351"/>
      <c r="O112" s="351"/>
      <c r="S112" s="13" t="s">
        <v>1789</v>
      </c>
      <c r="T112" s="5" t="s">
        <v>1790</v>
      </c>
      <c r="U112" s="369">
        <f>VLOOKUP($S92,Schlüssel!$A$5:$DG$10,23)</f>
        <v>5</v>
      </c>
      <c r="V112" s="370"/>
      <c r="W112" s="369">
        <f>VLOOKUP($S92,Schlüssel!$A$5:$EK$10,24)</f>
        <v>3</v>
      </c>
      <c r="X112" s="370"/>
      <c r="Y112" s="369">
        <f>VLOOKUP($S92,Schlüssel!$A$5:$EK$10,25)</f>
        <v>1</v>
      </c>
      <c r="Z112" s="370"/>
      <c r="AA112" s="369">
        <f>VLOOKUP($S92,Schlüssel!$A$5:$EK$10,26)</f>
        <v>2</v>
      </c>
      <c r="AB112" s="370"/>
      <c r="AC112" s="369">
        <f>VLOOKUP($S92,Schlüssel!$A$5:$EK$10,27)</f>
        <v>6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ref="B113:M114" si="102">IF(S113=0,"",S113)</f>
        <v/>
      </c>
      <c r="C113" s="1" t="str">
        <f t="shared" si="102"/>
        <v/>
      </c>
      <c r="D113" s="347" t="str">
        <f t="shared" si="102"/>
        <v>Castra Regina Regensburg 2</v>
      </c>
      <c r="E113" s="348" t="str">
        <f t="shared" si="102"/>
        <v/>
      </c>
      <c r="F113" s="347" t="str">
        <f t="shared" si="102"/>
        <v>Kings Club Bayreuth Land 2</v>
      </c>
      <c r="G113" s="348" t="str">
        <f t="shared" si="102"/>
        <v/>
      </c>
      <c r="H113" s="347" t="str">
        <f t="shared" si="102"/>
        <v>Castra Regina Regensburg 3</v>
      </c>
      <c r="I113" s="348" t="str">
        <f t="shared" si="102"/>
        <v/>
      </c>
      <c r="J113" s="347" t="str">
        <f t="shared" si="102"/>
        <v>Herzogenaurach 1</v>
      </c>
      <c r="K113" s="348" t="str">
        <f t="shared" si="102"/>
        <v/>
      </c>
      <c r="L113" s="347" t="str">
        <f t="shared" si="102"/>
        <v>Adler Nürnberg 1</v>
      </c>
      <c r="M113" s="348" t="str">
        <f t="shared" si="102"/>
        <v/>
      </c>
      <c r="N113" s="349"/>
      <c r="O113" s="349"/>
      <c r="S113" s="4"/>
      <c r="T113" s="1"/>
      <c r="U113" s="347" t="str">
        <f>VLOOKUP(U112,Schlüssel!$A$5:$K$10,2)</f>
        <v>Castra Regina Regensburg 2</v>
      </c>
      <c r="V113" s="348"/>
      <c r="W113" s="347" t="str">
        <f>VLOOKUP(W112,Schlüssel!$A$5:$K$10,2)</f>
        <v>Kings Club Bayreuth Land 2</v>
      </c>
      <c r="X113" s="348"/>
      <c r="Y113" s="347" t="str">
        <f>VLOOKUP(Y112,Schlüssel!$A$5:$K$10,2)</f>
        <v>Castra Regina Regensburg 3</v>
      </c>
      <c r="Z113" s="348"/>
      <c r="AA113" s="347" t="str">
        <f>VLOOKUP(AA112,Schlüssel!$A$5:$K$10,2)</f>
        <v>Herzogenaurach 1</v>
      </c>
      <c r="AB113" s="348"/>
      <c r="AC113" s="347" t="str">
        <f>VLOOKUP(AC112,Schlüssel!$A$5:$K$10,2)</f>
        <v>Adler Nürnberg 1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2"/>
        <v/>
      </c>
      <c r="C114" s="1" t="str">
        <f t="shared" si="102"/>
        <v/>
      </c>
      <c r="D114" s="346" t="str">
        <f t="shared" si="102"/>
        <v/>
      </c>
      <c r="E114" s="346" t="str">
        <f t="shared" si="102"/>
        <v/>
      </c>
      <c r="F114" s="346" t="str">
        <f t="shared" si="102"/>
        <v/>
      </c>
      <c r="G114" s="346" t="str">
        <f t="shared" si="102"/>
        <v/>
      </c>
      <c r="H114" s="346" t="str">
        <f t="shared" si="102"/>
        <v/>
      </c>
      <c r="I114" s="346" t="str">
        <f t="shared" si="102"/>
        <v/>
      </c>
      <c r="J114" s="346" t="str">
        <f t="shared" si="102"/>
        <v/>
      </c>
      <c r="K114" s="346" t="str">
        <f t="shared" si="102"/>
        <v/>
      </c>
      <c r="L114" s="346" t="str">
        <f t="shared" si="102"/>
        <v/>
      </c>
      <c r="M114" s="346" t="str">
        <f t="shared" si="102"/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ref="B115:C119" si="103">IF(S115=0,"",S115)</f>
        <v>Spieler 1</v>
      </c>
      <c r="C115" s="372" t="str">
        <f t="shared" si="103"/>
        <v/>
      </c>
      <c r="D115" s="344">
        <f>IF(U115=301,"",U115)</f>
        <v>148</v>
      </c>
      <c r="E115" s="344" t="str">
        <f>IF(V115=0,"",V115)</f>
        <v/>
      </c>
      <c r="F115" s="344">
        <f>IF(W115=301,"",W115)</f>
        <v>123</v>
      </c>
      <c r="G115" s="344" t="str">
        <f>IF(X115=0,"",X115)</f>
        <v/>
      </c>
      <c r="H115" s="344">
        <f>IF(Y115=301,"",Y115)</f>
        <v>179</v>
      </c>
      <c r="I115" s="344" t="str">
        <f>IF(Z115=0,"",Z115)</f>
        <v/>
      </c>
      <c r="J115" s="344">
        <f>IF(AA115=301,"",AA115)</f>
        <v>170</v>
      </c>
      <c r="K115" s="344" t="str">
        <f>IF(AB115=0,"",AB115)</f>
        <v/>
      </c>
      <c r="L115" s="344">
        <f>IF(AC115=301,"",AC115)</f>
        <v>167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148</v>
      </c>
      <c r="V115" s="368"/>
      <c r="W115" s="367">
        <f>ABS(INDEX(W:W,MATCH(W112,$S:$S,0)+5)+INDEX(W:W,MATCH(W112,$S:$S,0)+6)+INDEX(W:W,MATCH(W112,$S:$S,0)+7))</f>
        <v>123</v>
      </c>
      <c r="X115" s="368"/>
      <c r="Y115" s="367">
        <f>ABS(INDEX(Y:Y,MATCH(Y112,$S:$S,0)+5)+INDEX(Y:Y,MATCH(Y112,$S:$S,0)+6)+INDEX(Y:Y,MATCH(Y112,$S:$S,0)+7))</f>
        <v>179</v>
      </c>
      <c r="Z115" s="368"/>
      <c r="AA115" s="367">
        <f>ABS(INDEX(AA:AA,MATCH(AA112,$S:$S,0)+5)+INDEX(AA:AA,MATCH(AA112,$S:$S,0)+6)+INDEX(AA:AA,MATCH(AA112,$S:$S,0)+7))</f>
        <v>170</v>
      </c>
      <c r="AB115" s="368"/>
      <c r="AC115" s="367">
        <f>ABS(INDEX(AC:AC,MATCH(AC112,$S:$S,0)+5)+INDEX(AC:AC,MATCH(AC112,$S:$S,0)+6)+INDEX(AC:AC,MATCH(AC112,$S:$S,0)+7))</f>
        <v>167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3"/>
        <v>Spieler 2</v>
      </c>
      <c r="C116" s="372" t="str">
        <f t="shared" si="103"/>
        <v/>
      </c>
      <c r="D116" s="344">
        <f>IF(U116=301,"",U116)</f>
        <v>139</v>
      </c>
      <c r="E116" s="344" t="str">
        <f>IF(V116=0,"",V116)</f>
        <v/>
      </c>
      <c r="F116" s="344">
        <f>IF(W116=301,"",W116)</f>
        <v>176</v>
      </c>
      <c r="G116" s="344" t="str">
        <f>IF(X116=0,"",X116)</f>
        <v/>
      </c>
      <c r="H116" s="344">
        <f>IF(Y116=301,"",Y116)</f>
        <v>150</v>
      </c>
      <c r="I116" s="344" t="str">
        <f>IF(Z116=0,"",Z116)</f>
        <v/>
      </c>
      <c r="J116" s="344">
        <f>IF(AA116=301,"",AA116)</f>
        <v>181</v>
      </c>
      <c r="K116" s="344" t="str">
        <f>IF(AB116=0,"",AB116)</f>
        <v/>
      </c>
      <c r="L116" s="344">
        <f>IF(AC116=301,"",AC116)</f>
        <v>124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139</v>
      </c>
      <c r="V116" s="366"/>
      <c r="W116" s="365">
        <f>ABS(INDEX(W:W,MATCH(W112,$S:$S,0)+8)+INDEX(W:W,MATCH(W112,$S:$S,0)+9)+INDEX(W:W,MATCH(W112,$S:$S,0)+10))</f>
        <v>176</v>
      </c>
      <c r="X116" s="366"/>
      <c r="Y116" s="365">
        <f>ABS(INDEX(Y:Y,MATCH(Y112,$S:$S,0)+8)+INDEX(Y:Y,MATCH(Y112,$S:$S,0)+9)+INDEX(Y:Y,MATCH(Y112,$S:$S,0)+10))</f>
        <v>150</v>
      </c>
      <c r="Z116" s="366"/>
      <c r="AA116" s="365">
        <f>ABS(INDEX(AA:AA,MATCH(AA112,$S:$S,0)+8)+INDEX(AA:AA,MATCH(AA112,$S:$S,0)+9)+INDEX(AA:AA,MATCH(AA112,$S:$S,0)+10))</f>
        <v>181</v>
      </c>
      <c r="AB116" s="366"/>
      <c r="AC116" s="365">
        <f>ABS(INDEX(AC:AC,MATCH(AC112,$S:$S,0)+8)+INDEX(AC:AC,MATCH(AC112,$S:$S,0)+9)+INDEX(AC:AC,MATCH(AC112,$S:$S,0)+10))</f>
        <v>124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3"/>
        <v>Spieler 3</v>
      </c>
      <c r="C117" s="372" t="str">
        <f t="shared" si="103"/>
        <v/>
      </c>
      <c r="D117" s="344">
        <f>IF(U117=301,"",U117)</f>
        <v>215</v>
      </c>
      <c r="E117" s="344" t="str">
        <f>IF(V117=0,"",V117)</f>
        <v/>
      </c>
      <c r="F117" s="344">
        <f>IF(W117=301,"",W117)</f>
        <v>170</v>
      </c>
      <c r="G117" s="344" t="str">
        <f>IF(X117=0,"",X117)</f>
        <v/>
      </c>
      <c r="H117" s="344">
        <f>IF(Y117=301,"",Y117)</f>
        <v>208</v>
      </c>
      <c r="I117" s="344" t="str">
        <f>IF(Z117=0,"",Z117)</f>
        <v/>
      </c>
      <c r="J117" s="344">
        <f>IF(AA117=301,"",AA117)</f>
        <v>188</v>
      </c>
      <c r="K117" s="344" t="str">
        <f>IF(AB117=0,"",AB117)</f>
        <v/>
      </c>
      <c r="L117" s="344">
        <f>IF(AC117=301,"",AC117)</f>
        <v>142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215</v>
      </c>
      <c r="V117" s="366"/>
      <c r="W117" s="365">
        <f>ABS(INDEX(W:W,MATCH(W112,$S:$S,0)+11)+INDEX(W:W,MATCH(W112,$S:$S,0)+12)+INDEX(W:W,MATCH(W112,$S:$S,0)+13))</f>
        <v>170</v>
      </c>
      <c r="X117" s="366"/>
      <c r="Y117" s="365">
        <f>ABS(INDEX(Y:Y,MATCH(Y112,$S:$S,0)+11)+INDEX(Y:Y,MATCH(Y112,$S:$S,0)+12)+INDEX(Y:Y,MATCH(Y112,$S:$S,0)+13))</f>
        <v>208</v>
      </c>
      <c r="Z117" s="366"/>
      <c r="AA117" s="365">
        <f>ABS(INDEX(AA:AA,MATCH(AA112,$S:$S,0)+11)+INDEX(AA:AA,MATCH(AA112,$S:$S,0)+12)+INDEX(AA:AA,MATCH(AA112,$S:$S,0)+13))</f>
        <v>188</v>
      </c>
      <c r="AB117" s="366"/>
      <c r="AC117" s="365">
        <f>ABS(INDEX(AC:AC,MATCH(AC112,$S:$S,0)+11)+INDEX(AC:AC,MATCH(AC112,$S:$S,0)+12)+INDEX(AC:AC,MATCH(AC112,$S:$S,0)+13))</f>
        <v>142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3"/>
        <v>Spieler 4</v>
      </c>
      <c r="C118" s="372" t="str">
        <f t="shared" si="103"/>
        <v/>
      </c>
      <c r="D118" s="344">
        <f>IF(U118=301,"",U118)</f>
        <v>185</v>
      </c>
      <c r="E118" s="344" t="str">
        <f>IF(V118=0,"",V118)</f>
        <v/>
      </c>
      <c r="F118" s="344">
        <f>IF(W118=301,"",W118)</f>
        <v>155</v>
      </c>
      <c r="G118" s="344" t="str">
        <f>IF(X118=0,"",X118)</f>
        <v/>
      </c>
      <c r="H118" s="344">
        <f>IF(Y118=301,"",Y118)</f>
        <v>180</v>
      </c>
      <c r="I118" s="344" t="str">
        <f>IF(Z118=0,"",Z118)</f>
        <v/>
      </c>
      <c r="J118" s="344">
        <f>IF(AA118=301,"",AA118)</f>
        <v>136</v>
      </c>
      <c r="K118" s="344" t="str">
        <f>IF(AB118=0,"",AB118)</f>
        <v/>
      </c>
      <c r="L118" s="344">
        <f>IF(AC118=301,"",AC118)</f>
        <v>163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185</v>
      </c>
      <c r="V118" s="366"/>
      <c r="W118" s="365">
        <f>ABS(INDEX(W:W,MATCH(W112,$S:$S,0)+14)+INDEX(W:W,MATCH(W112,$S:$S,0)+15)+INDEX(W:W,MATCH(W112,$S:$S,0)+16))</f>
        <v>155</v>
      </c>
      <c r="X118" s="366"/>
      <c r="Y118" s="365">
        <f>ABS(INDEX(Y:Y,MATCH(Y112,$S:$S,0)+14)+INDEX(Y:Y,MATCH(Y112,$S:$S,0)+15)+INDEX(Y:Y,MATCH(Y112,$S:$S,0)+16))</f>
        <v>180</v>
      </c>
      <c r="Z118" s="366"/>
      <c r="AA118" s="365">
        <f>ABS(INDEX(AA:AA,MATCH(AA112,$S:$S,0)+14)+INDEX(AA:AA,MATCH(AA112,$S:$S,0)+15)+INDEX(AA:AA,MATCH(AA112,$S:$S,0)+16))</f>
        <v>136</v>
      </c>
      <c r="AB118" s="366"/>
      <c r="AC118" s="365">
        <f>ABS(INDEX(AC:AC,MATCH(AC112,$S:$S,0)+14)+INDEX(AC:AC,MATCH(AC112,$S:$S,0)+15)+INDEX(AC:AC,MATCH(AC112,$S:$S,0)+16))</f>
        <v>163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3"/>
        <v>Gesamt</v>
      </c>
      <c r="C119" s="360" t="str">
        <f t="shared" si="103"/>
        <v/>
      </c>
      <c r="D119" s="343">
        <f>IF(U119=1505,"",U119)</f>
        <v>687</v>
      </c>
      <c r="E119" s="343" t="str">
        <f>IF(V119=0,"",V119)</f>
        <v/>
      </c>
      <c r="F119" s="343">
        <f>IF(W119=1505,"",W119)</f>
        <v>624</v>
      </c>
      <c r="G119" s="343" t="str">
        <f>IF(X119=0,"",X119)</f>
        <v/>
      </c>
      <c r="H119" s="343">
        <f>IF(Y119=1505,"",Y119)</f>
        <v>717</v>
      </c>
      <c r="I119" s="343" t="str">
        <f>IF(Z119=0,"",Z119)</f>
        <v/>
      </c>
      <c r="J119" s="343">
        <f>IF(AA119=1505,"",AA119)</f>
        <v>675</v>
      </c>
      <c r="K119" s="343" t="str">
        <f>IF(AB119=0,"",AB119)</f>
        <v/>
      </c>
      <c r="L119" s="343">
        <f>IF(AC119=1505,"",AC119)</f>
        <v>596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687</v>
      </c>
      <c r="V119" s="360"/>
      <c r="W119" s="359">
        <f>SUM(W115:W118)</f>
        <v>624</v>
      </c>
      <c r="X119" s="360"/>
      <c r="Y119" s="359">
        <f>SUM(Y115:Y118)</f>
        <v>717</v>
      </c>
      <c r="Z119" s="360"/>
      <c r="AA119" s="359">
        <f>SUM(AA115:AA118)</f>
        <v>675</v>
      </c>
      <c r="AB119" s="360"/>
      <c r="AC119" s="359">
        <f>SUM(AC115:AC118)</f>
        <v>596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 t="str">
        <f>AD121</f>
        <v>03.11.</v>
      </c>
      <c r="N121" s="376"/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Schlüssel!$AG$1</f>
        <v>03.11.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">
        <v>1786</v>
      </c>
      <c r="E122" s="84" t="str">
        <f>V122</f>
        <v>Regensburg Super Bowl</v>
      </c>
      <c r="F122" s="77"/>
      <c r="G122" s="77"/>
      <c r="H122" s="77"/>
      <c r="I122" s="77"/>
      <c r="J122" s="77"/>
      <c r="K122" s="77"/>
      <c r="L122" s="29" t="str">
        <f>AC122</f>
        <v>Spieltag:</v>
      </c>
      <c r="M122" s="86">
        <f>AD122</f>
        <v>2</v>
      </c>
      <c r="N122" s="28"/>
      <c r="R122" s="49"/>
      <c r="S122" s="50">
        <v>5</v>
      </c>
      <c r="U122" s="30" t="s">
        <v>1786</v>
      </c>
      <c r="V122" s="84" t="str">
        <f>Schlüssel!$W$2</f>
        <v>Regensburg Super Bowl</v>
      </c>
      <c r="X122" s="77"/>
      <c r="Y122" s="77"/>
      <c r="Z122" s="77"/>
      <c r="AA122" s="77"/>
      <c r="AB122" s="77"/>
      <c r="AC122" s="29" t="s">
        <v>1784</v>
      </c>
      <c r="AD122" s="34">
        <v>2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VLOOKUP(S122,Schlüssel!$A$5:$DZ$10,33)</f>
        <v>10</v>
      </c>
      <c r="W124" s="193" t="s">
        <v>10</v>
      </c>
      <c r="X124" s="191">
        <f>VLOOKUP(S122,Schlüssel!$A$5:$DZ$10,34)</f>
        <v>7</v>
      </c>
      <c r="Y124" s="193" t="s">
        <v>10</v>
      </c>
      <c r="Z124" s="191">
        <f>VLOOKUP(S122,Schlüssel!$A$5:$DZ$10,35)</f>
        <v>9</v>
      </c>
      <c r="AA124" s="193" t="s">
        <v>10</v>
      </c>
      <c r="AB124" s="191">
        <f>VLOOKUP(S122,Schlüssel!$A$5:$DZ$10,36)</f>
        <v>11</v>
      </c>
      <c r="AC124" s="193" t="s">
        <v>10</v>
      </c>
      <c r="AD124" s="192">
        <f>VLOOKUP(S122,Schlüssel!$A$5:$DZ$10,37)</f>
        <v>8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>Simon, Steven</v>
      </c>
      <c r="C127" s="18">
        <f>IF(T127=0,"",T127)</f>
        <v>38571</v>
      </c>
      <c r="D127" s="14">
        <f>IF(U127=0,"",U127)</f>
        <v>148</v>
      </c>
      <c r="E127" s="352">
        <f>IF(V127="","",V127)</f>
        <v>0</v>
      </c>
      <c r="F127" s="14">
        <f t="shared" ref="F127:F140" si="104">IF(W127=0,"",W127)</f>
        <v>130</v>
      </c>
      <c r="G127" s="352">
        <f>IF(X127="","",X127)</f>
        <v>0</v>
      </c>
      <c r="H127" s="14" t="str">
        <f t="shared" ref="H127:H140" si="105">IF(Y127=0,"",Y127)</f>
        <v/>
      </c>
      <c r="I127" s="352">
        <f>IF(Z127="","",Z127)</f>
        <v>1</v>
      </c>
      <c r="J127" s="14" t="str">
        <f t="shared" ref="J127:J140" si="106">IF(AA127=0,"",AA127)</f>
        <v/>
      </c>
      <c r="K127" s="352">
        <f>IF(AB127="","",AB127)</f>
        <v>0</v>
      </c>
      <c r="L127" s="14" t="str">
        <f t="shared" ref="L127:L140" si="107">IF(AC127=0,"",AC127)</f>
        <v/>
      </c>
      <c r="M127" s="352">
        <f>IF(AD127="","",AD127)</f>
        <v>0</v>
      </c>
      <c r="N127" s="14">
        <f t="shared" ref="N127:N140" si="108">IF(AE127=0,"",AE127)</f>
        <v>278</v>
      </c>
      <c r="O127" s="352">
        <f>IF(AF127="","",AF127)</f>
        <v>1</v>
      </c>
      <c r="R127" s="355" t="s">
        <v>0</v>
      </c>
      <c r="S127" s="68" t="str">
        <f>IF(T127=0,"",VLOOKUP(T127,Starter!$A$1:$D$196,2,FALSE))</f>
        <v>Simon, Steven</v>
      </c>
      <c r="T127" s="175">
        <v>38571</v>
      </c>
      <c r="U127" s="183">
        <v>148</v>
      </c>
      <c r="V127" s="95">
        <f>IF(SUM(U127:U129)+U145=0,0,IF(ABS(SUM(U127:U129))=U145,0.5,IF(ABS(SUM(U127:U129))&gt;U145,1,0)))</f>
        <v>0</v>
      </c>
      <c r="W127" s="183">
        <v>130</v>
      </c>
      <c r="X127" s="95">
        <f>IF(SUM(W127:W129)+W145=0,0,IF(ABS(SUM(W127:W129))=W145,0.5,IF(ABS(SUM(W127:W129))&gt;W145,1,0)))</f>
        <v>0</v>
      </c>
      <c r="Y127" s="183"/>
      <c r="Z127" s="95">
        <f>IF(SUM(Y127:Y129)+Y145=0,0,IF(ABS(SUM(Y127:Y129))=Y145,0.5,IF(ABS(SUM(Y127:Y129))&gt;Y145,1,0)))</f>
        <v>1</v>
      </c>
      <c r="AA127" s="189"/>
      <c r="AB127" s="95">
        <f>IF(SUM(AA127:AA129)+AA145=0,0,IF(ABS(SUM(AA127:AA129))=AA145,0.5,IF(ABS(SUM(AA127:AA129))&gt;AA145,1,0)))</f>
        <v>0</v>
      </c>
      <c r="AC127" s="183"/>
      <c r="AD127" s="95">
        <f>IF(SUM(AC127:AC129)+AC145=0,0,IF(ABS(SUM(AC127:AC129))=AC145,0.5,IF(ABS(SUM(AC127:AC129))&gt;AC145,1,0)))</f>
        <v>0</v>
      </c>
      <c r="AE127" s="195">
        <f t="shared" ref="AE127:AE138" si="109">ABS(SUM(U127:U127))+ABS(SUM(W127:W127))+ABS(SUM(Y127:Y127))+ABS(SUM(AA127:AA127))+ABS(SUM(AC127:AC127))</f>
        <v>278</v>
      </c>
      <c r="AF127" s="180">
        <f>SUM(V127+X127+Z127+AB127+AD127)</f>
        <v>1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0">T127</f>
        <v>38571</v>
      </c>
      <c r="BE127" s="213">
        <f t="shared" ref="BE127:BE138" si="111">AE127</f>
        <v>278</v>
      </c>
      <c r="BF127" s="215">
        <f t="shared" ref="BF127:BF138" si="112">COUNT(BH127:BL127)</f>
        <v>2</v>
      </c>
      <c r="BG127" s="215">
        <f t="shared" ref="BG127:BG138" si="113">COUNTIF(BH127:BL127,"&gt;0")</f>
        <v>2</v>
      </c>
      <c r="BH127" s="215">
        <f t="shared" ref="BH127:BH138" si="114">IF(U127=0,"",U127)</f>
        <v>148</v>
      </c>
      <c r="BI127" s="215">
        <f t="shared" ref="BI127:BI138" si="115">IF(W127=0,"",W127)</f>
        <v>130</v>
      </c>
      <c r="BJ127" s="215" t="str">
        <f t="shared" ref="BJ127:BJ138" si="116">IF(Y127=0,"",Y127)</f>
        <v/>
      </c>
      <c r="BK127" s="215" t="str">
        <f t="shared" ref="BK127:BK138" si="117">IF(AA127=0,"",AA127)</f>
        <v/>
      </c>
      <c r="BL127" s="215" t="str">
        <f t="shared" ref="BL127:BL138" si="118">IF(AC127=0,"",AC127)</f>
        <v/>
      </c>
      <c r="BM127" s="216"/>
      <c r="BN127" s="214"/>
      <c r="BO127" s="215">
        <f t="shared" ref="BO127:BO138" si="119">MAX(BH127:BL127)</f>
        <v>148</v>
      </c>
      <c r="BP127" s="215">
        <f t="shared" ref="BP127:BP138" si="120">IF(BO127&lt;MAX(BO:BO),0,BO127+ROW()/1000000000)</f>
        <v>0</v>
      </c>
      <c r="BQ127" s="215" t="str">
        <f>+S123</f>
        <v>Castra Regina Regensburg 2</v>
      </c>
      <c r="BR127" s="214">
        <f t="shared" ref="BR127:BR138" si="121">RANK(BP127,BP:BP)</f>
        <v>2</v>
      </c>
      <c r="BS127" s="215">
        <f t="shared" ref="BS127:BS138" si="122">SUMIF(BH127:BL127,"&gt;0")</f>
        <v>278</v>
      </c>
      <c r="BT127" s="215">
        <f>IF(COUNTIF(BH127:BL127,"&gt;0")&lt;Spielorte!$A$23,0,BE127/Spielorte!$A$23)</f>
        <v>0</v>
      </c>
      <c r="BU127" s="215">
        <f t="shared" ref="BU127:BU138" si="123">IF(BT127&lt;MAX(BT:BT),0,BT127+ROW()/1000000000)</f>
        <v>0</v>
      </c>
      <c r="BV127" s="214">
        <f t="shared" ref="BV127:BV138" si="124">IF(BU127=0,0,RANK(BU127,BU:BU))</f>
        <v>0</v>
      </c>
    </row>
    <row r="128" spans="1:74" ht="17.100000000000001" customHeight="1" x14ac:dyDescent="0.2">
      <c r="A128" s="374"/>
      <c r="B128" s="19" t="str">
        <f t="shared" ref="B128:D140" si="125">IF(S128=0,"",S128)</f>
        <v>Gilch, Stefan</v>
      </c>
      <c r="C128" s="20">
        <f t="shared" si="125"/>
        <v>25895</v>
      </c>
      <c r="D128" s="15" t="str">
        <f t="shared" si="125"/>
        <v/>
      </c>
      <c r="E128" s="353"/>
      <c r="F128" s="15" t="str">
        <f t="shared" si="104"/>
        <v/>
      </c>
      <c r="G128" s="353"/>
      <c r="H128" s="15">
        <f t="shared" si="105"/>
        <v>177</v>
      </c>
      <c r="I128" s="353"/>
      <c r="J128" s="15">
        <f t="shared" si="106"/>
        <v>148</v>
      </c>
      <c r="K128" s="353"/>
      <c r="L128" s="15">
        <f t="shared" si="107"/>
        <v>211</v>
      </c>
      <c r="M128" s="353"/>
      <c r="N128" s="15">
        <f t="shared" si="108"/>
        <v>536</v>
      </c>
      <c r="O128" s="353"/>
      <c r="R128" s="356"/>
      <c r="S128" s="68" t="str">
        <f>IF(T128=0,"",VLOOKUP(T128,Starter!$A$1:$D$196,2,FALSE))</f>
        <v>Gilch, Stefan</v>
      </c>
      <c r="T128" s="176">
        <v>25895</v>
      </c>
      <c r="U128" s="184"/>
      <c r="V128" s="96"/>
      <c r="W128" s="184"/>
      <c r="X128" s="96"/>
      <c r="Y128" s="184">
        <v>177</v>
      </c>
      <c r="Z128" s="96"/>
      <c r="AA128" s="184">
        <v>148</v>
      </c>
      <c r="AB128" s="96"/>
      <c r="AC128" s="184">
        <v>211</v>
      </c>
      <c r="AD128" s="96"/>
      <c r="AE128" s="196">
        <f t="shared" si="109"/>
        <v>536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0"/>
        <v>25895</v>
      </c>
      <c r="BE128" s="213">
        <f t="shared" si="111"/>
        <v>536</v>
      </c>
      <c r="BF128" s="215">
        <f t="shared" si="112"/>
        <v>3</v>
      </c>
      <c r="BG128" s="215">
        <f t="shared" si="113"/>
        <v>3</v>
      </c>
      <c r="BH128" s="215" t="str">
        <f t="shared" si="114"/>
        <v/>
      </c>
      <c r="BI128" s="215" t="str">
        <f t="shared" si="115"/>
        <v/>
      </c>
      <c r="BJ128" s="215">
        <f t="shared" si="116"/>
        <v>177</v>
      </c>
      <c r="BK128" s="215">
        <f t="shared" si="117"/>
        <v>148</v>
      </c>
      <c r="BL128" s="215">
        <f t="shared" si="118"/>
        <v>211</v>
      </c>
      <c r="BM128" s="216"/>
      <c r="BN128" s="214"/>
      <c r="BO128" s="215">
        <f t="shared" si="119"/>
        <v>211</v>
      </c>
      <c r="BP128" s="215">
        <f t="shared" si="120"/>
        <v>0</v>
      </c>
      <c r="BQ128" s="215" t="str">
        <f t="shared" ref="BQ128:BQ138" si="126">+BQ127</f>
        <v>Castra Regina Regensburg 2</v>
      </c>
      <c r="BR128" s="214">
        <f t="shared" si="121"/>
        <v>2</v>
      </c>
      <c r="BS128" s="215">
        <f t="shared" si="122"/>
        <v>536</v>
      </c>
      <c r="BT128" s="215">
        <f>IF(COUNTIF(BH128:BL128,"&gt;0")&lt;Spielorte!$A$23,0,BE128/Spielorte!$A$23)</f>
        <v>0</v>
      </c>
      <c r="BU128" s="215">
        <f t="shared" si="123"/>
        <v>0</v>
      </c>
      <c r="BV128" s="214">
        <f t="shared" si="124"/>
        <v>0</v>
      </c>
    </row>
    <row r="129" spans="1:74" ht="17.100000000000001" customHeight="1" thickBot="1" x14ac:dyDescent="0.25">
      <c r="A129" s="375"/>
      <c r="B129" s="21" t="str">
        <f t="shared" si="125"/>
        <v/>
      </c>
      <c r="C129" s="22" t="str">
        <f t="shared" si="125"/>
        <v/>
      </c>
      <c r="D129" s="9" t="str">
        <f t="shared" si="125"/>
        <v/>
      </c>
      <c r="E129" s="354"/>
      <c r="F129" s="9" t="str">
        <f t="shared" si="104"/>
        <v/>
      </c>
      <c r="G129" s="354"/>
      <c r="H129" s="9" t="str">
        <f t="shared" si="105"/>
        <v/>
      </c>
      <c r="I129" s="354"/>
      <c r="J129" s="9" t="str">
        <f t="shared" si="106"/>
        <v/>
      </c>
      <c r="K129" s="354"/>
      <c r="L129" s="9" t="str">
        <f t="shared" si="107"/>
        <v/>
      </c>
      <c r="M129" s="354"/>
      <c r="N129" s="9" t="str">
        <f t="shared" si="108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09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0"/>
        <v>0</v>
      </c>
      <c r="BE129" s="213">
        <f t="shared" si="111"/>
        <v>0</v>
      </c>
      <c r="BF129" s="215">
        <f t="shared" si="112"/>
        <v>0</v>
      </c>
      <c r="BG129" s="215">
        <f t="shared" si="113"/>
        <v>0</v>
      </c>
      <c r="BH129" s="215" t="str">
        <f t="shared" si="114"/>
        <v/>
      </c>
      <c r="BI129" s="215" t="str">
        <f t="shared" si="115"/>
        <v/>
      </c>
      <c r="BJ129" s="215" t="str">
        <f t="shared" si="116"/>
        <v/>
      </c>
      <c r="BK129" s="215" t="str">
        <f t="shared" si="117"/>
        <v/>
      </c>
      <c r="BL129" s="215" t="str">
        <f t="shared" si="118"/>
        <v/>
      </c>
      <c r="BM129" s="216"/>
      <c r="BN129" s="214"/>
      <c r="BO129" s="215">
        <f t="shared" si="119"/>
        <v>0</v>
      </c>
      <c r="BP129" s="215">
        <f t="shared" si="120"/>
        <v>0</v>
      </c>
      <c r="BQ129" s="215" t="str">
        <f t="shared" si="126"/>
        <v>Castra Regina Regensburg 2</v>
      </c>
      <c r="BR129" s="214">
        <f t="shared" si="121"/>
        <v>2</v>
      </c>
      <c r="BS129" s="215">
        <f t="shared" si="122"/>
        <v>0</v>
      </c>
      <c r="BT129" s="215">
        <f>IF(COUNTIF(BH129:BL129,"&gt;0")&lt;Spielorte!$A$23,0,BE129/Spielorte!$A$23)</f>
        <v>0</v>
      </c>
      <c r="BU129" s="215">
        <f t="shared" si="123"/>
        <v>0</v>
      </c>
      <c r="BV129" s="214">
        <f t="shared" si="124"/>
        <v>0</v>
      </c>
    </row>
    <row r="130" spans="1:74" ht="17.100000000000001" customHeight="1" x14ac:dyDescent="0.2">
      <c r="A130" s="373" t="s">
        <v>2</v>
      </c>
      <c r="B130" s="17" t="str">
        <f t="shared" si="125"/>
        <v>Martin, Dennis</v>
      </c>
      <c r="C130" s="18">
        <f t="shared" si="125"/>
        <v>38870</v>
      </c>
      <c r="D130" s="14">
        <f t="shared" si="125"/>
        <v>139</v>
      </c>
      <c r="E130" s="352">
        <f>IF(V130="","",V130)</f>
        <v>0</v>
      </c>
      <c r="F130" s="14">
        <f t="shared" si="104"/>
        <v>131</v>
      </c>
      <c r="G130" s="352">
        <f>IF(X130="","",X130)</f>
        <v>0</v>
      </c>
      <c r="H130" s="14">
        <f t="shared" si="105"/>
        <v>145</v>
      </c>
      <c r="I130" s="352">
        <f>IF(Z130="","",Z130)</f>
        <v>0</v>
      </c>
      <c r="J130" s="14">
        <f t="shared" si="106"/>
        <v>169</v>
      </c>
      <c r="K130" s="352">
        <f>IF(AB130="","",AB130)</f>
        <v>1</v>
      </c>
      <c r="L130" s="14">
        <f t="shared" si="107"/>
        <v>156</v>
      </c>
      <c r="M130" s="352">
        <f>IF(AD130="","",AD130)</f>
        <v>0</v>
      </c>
      <c r="N130" s="14">
        <f t="shared" si="108"/>
        <v>740</v>
      </c>
      <c r="O130" s="352">
        <f>IF(AF130="","",AF130)</f>
        <v>1</v>
      </c>
      <c r="R130" s="355" t="s">
        <v>2</v>
      </c>
      <c r="S130" s="68" t="str">
        <f>IF(T130=0,"",VLOOKUP(T130,Starter!$A$1:$D$196,2,FALSE))</f>
        <v>Martin, Dennis</v>
      </c>
      <c r="T130" s="178">
        <v>38870</v>
      </c>
      <c r="U130" s="186">
        <v>139</v>
      </c>
      <c r="V130" s="95">
        <f>IF(SUM(U130:U132)+U146=0,0,IF(ABS(SUM(U130:U132))=U146,0.5,IF(ABS(SUM(U130:U132))&gt;U146,1,0)))</f>
        <v>0</v>
      </c>
      <c r="W130" s="186">
        <v>131</v>
      </c>
      <c r="X130" s="95">
        <f>IF(SUM(W130:W132)+W146=0,0,IF(ABS(SUM(W130:W132))=W146,0.5,IF(ABS(SUM(W130:W132))&gt;W146,1,0)))</f>
        <v>0</v>
      </c>
      <c r="Y130" s="186">
        <v>145</v>
      </c>
      <c r="Z130" s="95">
        <f>IF(SUM(Y130:Y132)+Y146=0,0,IF(ABS(SUM(Y130:Y132))=Y146,0.5,IF(ABS(SUM(Y130:Y132))&gt;Y146,1,0)))</f>
        <v>0</v>
      </c>
      <c r="AA130" s="186">
        <v>169</v>
      </c>
      <c r="AB130" s="95">
        <f>IF(SUM(AA130:AA132)+AA146=0,0,IF(ABS(SUM(AA130:AA132))=AA146,0.5,IF(ABS(SUM(AA130:AA132))&gt;AA146,1,0)))</f>
        <v>1</v>
      </c>
      <c r="AC130" s="186">
        <v>156</v>
      </c>
      <c r="AD130" s="95">
        <f>IF(SUM(AC130:AC132)+AC146=0,0,IF(ABS(SUM(AC130:AC132))=AC146,0.5,IF(ABS(SUM(AC130:AC132))&gt;AC146,1,0)))</f>
        <v>0</v>
      </c>
      <c r="AE130" s="195">
        <f t="shared" si="109"/>
        <v>740</v>
      </c>
      <c r="AF130" s="180">
        <f>SUM(V130+X130+Z130+AB130+AD130)</f>
        <v>1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0"/>
        <v>38870</v>
      </c>
      <c r="BE130" s="213">
        <f t="shared" si="111"/>
        <v>740</v>
      </c>
      <c r="BF130" s="215">
        <f t="shared" si="112"/>
        <v>5</v>
      </c>
      <c r="BG130" s="215">
        <f t="shared" si="113"/>
        <v>5</v>
      </c>
      <c r="BH130" s="215">
        <f t="shared" si="114"/>
        <v>139</v>
      </c>
      <c r="BI130" s="215">
        <f t="shared" si="115"/>
        <v>131</v>
      </c>
      <c r="BJ130" s="215">
        <f t="shared" si="116"/>
        <v>145</v>
      </c>
      <c r="BK130" s="215">
        <f t="shared" si="117"/>
        <v>169</v>
      </c>
      <c r="BL130" s="215">
        <f t="shared" si="118"/>
        <v>156</v>
      </c>
      <c r="BM130" s="216"/>
      <c r="BN130" s="214"/>
      <c r="BO130" s="215">
        <f t="shared" si="119"/>
        <v>169</v>
      </c>
      <c r="BP130" s="215">
        <f t="shared" si="120"/>
        <v>0</v>
      </c>
      <c r="BQ130" s="215" t="str">
        <f t="shared" si="126"/>
        <v>Castra Regina Regensburg 2</v>
      </c>
      <c r="BR130" s="214">
        <f t="shared" si="121"/>
        <v>2</v>
      </c>
      <c r="BS130" s="215">
        <f t="shared" si="122"/>
        <v>740</v>
      </c>
      <c r="BT130" s="215">
        <f>IF(COUNTIF(BH130:BL130,"&gt;0")&lt;Spielorte!$A$23,0,BE130/Spielorte!$A$23)</f>
        <v>148</v>
      </c>
      <c r="BU130" s="215">
        <f t="shared" si="123"/>
        <v>0</v>
      </c>
      <c r="BV130" s="214">
        <f t="shared" si="124"/>
        <v>0</v>
      </c>
    </row>
    <row r="131" spans="1:74" ht="17.100000000000001" customHeight="1" x14ac:dyDescent="0.2">
      <c r="A131" s="374"/>
      <c r="B131" s="19" t="str">
        <f t="shared" si="125"/>
        <v/>
      </c>
      <c r="C131" s="20" t="str">
        <f t="shared" si="125"/>
        <v/>
      </c>
      <c r="D131" s="15" t="str">
        <f t="shared" si="125"/>
        <v/>
      </c>
      <c r="E131" s="353"/>
      <c r="F131" s="15" t="str">
        <f t="shared" si="104"/>
        <v/>
      </c>
      <c r="G131" s="353"/>
      <c r="H131" s="15" t="str">
        <f t="shared" si="105"/>
        <v/>
      </c>
      <c r="I131" s="353"/>
      <c r="J131" s="15" t="str">
        <f t="shared" si="106"/>
        <v/>
      </c>
      <c r="K131" s="353"/>
      <c r="L131" s="15" t="str">
        <f t="shared" si="107"/>
        <v/>
      </c>
      <c r="M131" s="353"/>
      <c r="N131" s="15" t="str">
        <f t="shared" si="108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09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0"/>
        <v>0</v>
      </c>
      <c r="BE131" s="213">
        <f t="shared" si="111"/>
        <v>0</v>
      </c>
      <c r="BF131" s="215">
        <f t="shared" si="112"/>
        <v>0</v>
      </c>
      <c r="BG131" s="215">
        <f t="shared" si="113"/>
        <v>0</v>
      </c>
      <c r="BH131" s="215" t="str">
        <f t="shared" si="114"/>
        <v/>
      </c>
      <c r="BI131" s="215" t="str">
        <f t="shared" si="115"/>
        <v/>
      </c>
      <c r="BJ131" s="215" t="str">
        <f t="shared" si="116"/>
        <v/>
      </c>
      <c r="BK131" s="215" t="str">
        <f t="shared" si="117"/>
        <v/>
      </c>
      <c r="BL131" s="215" t="str">
        <f t="shared" si="118"/>
        <v/>
      </c>
      <c r="BM131" s="216"/>
      <c r="BN131" s="214"/>
      <c r="BO131" s="215">
        <f t="shared" si="119"/>
        <v>0</v>
      </c>
      <c r="BP131" s="215">
        <f t="shared" si="120"/>
        <v>0</v>
      </c>
      <c r="BQ131" s="215" t="str">
        <f t="shared" si="126"/>
        <v>Castra Regina Regensburg 2</v>
      </c>
      <c r="BR131" s="214">
        <f t="shared" si="121"/>
        <v>2</v>
      </c>
      <c r="BS131" s="215">
        <f t="shared" si="122"/>
        <v>0</v>
      </c>
      <c r="BT131" s="215">
        <f>IF(COUNTIF(BH131:BL131,"&gt;0")&lt;Spielorte!$A$23,0,BE131/Spielorte!$A$23)</f>
        <v>0</v>
      </c>
      <c r="BU131" s="215">
        <f t="shared" si="123"/>
        <v>0</v>
      </c>
      <c r="BV131" s="214">
        <f t="shared" si="124"/>
        <v>0</v>
      </c>
    </row>
    <row r="132" spans="1:74" ht="17.100000000000001" customHeight="1" thickBot="1" x14ac:dyDescent="0.25">
      <c r="A132" s="375"/>
      <c r="B132" s="21" t="str">
        <f t="shared" si="125"/>
        <v/>
      </c>
      <c r="C132" s="22" t="str">
        <f t="shared" si="125"/>
        <v/>
      </c>
      <c r="D132" s="9" t="str">
        <f t="shared" si="125"/>
        <v/>
      </c>
      <c r="E132" s="354"/>
      <c r="F132" s="9" t="str">
        <f t="shared" si="104"/>
        <v/>
      </c>
      <c r="G132" s="354"/>
      <c r="H132" s="9" t="str">
        <f t="shared" si="105"/>
        <v/>
      </c>
      <c r="I132" s="354"/>
      <c r="J132" s="9" t="str">
        <f t="shared" si="106"/>
        <v/>
      </c>
      <c r="K132" s="354"/>
      <c r="L132" s="9" t="str">
        <f t="shared" si="107"/>
        <v/>
      </c>
      <c r="M132" s="354"/>
      <c r="N132" s="9" t="str">
        <f t="shared" si="108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09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0"/>
        <v>0</v>
      </c>
      <c r="BE132" s="213">
        <f t="shared" si="111"/>
        <v>0</v>
      </c>
      <c r="BF132" s="215">
        <f t="shared" si="112"/>
        <v>0</v>
      </c>
      <c r="BG132" s="215">
        <f t="shared" si="113"/>
        <v>0</v>
      </c>
      <c r="BH132" s="215" t="str">
        <f t="shared" si="114"/>
        <v/>
      </c>
      <c r="BI132" s="215" t="str">
        <f t="shared" si="115"/>
        <v/>
      </c>
      <c r="BJ132" s="215" t="str">
        <f t="shared" si="116"/>
        <v/>
      </c>
      <c r="BK132" s="215" t="str">
        <f t="shared" si="117"/>
        <v/>
      </c>
      <c r="BL132" s="215" t="str">
        <f t="shared" si="118"/>
        <v/>
      </c>
      <c r="BM132" s="216"/>
      <c r="BN132" s="214"/>
      <c r="BO132" s="215">
        <f t="shared" si="119"/>
        <v>0</v>
      </c>
      <c r="BP132" s="215">
        <f t="shared" si="120"/>
        <v>0</v>
      </c>
      <c r="BQ132" s="215" t="str">
        <f t="shared" si="126"/>
        <v>Castra Regina Regensburg 2</v>
      </c>
      <c r="BR132" s="214">
        <f t="shared" si="121"/>
        <v>2</v>
      </c>
      <c r="BS132" s="215">
        <f t="shared" si="122"/>
        <v>0</v>
      </c>
      <c r="BT132" s="215">
        <f>IF(COUNTIF(BH132:BL132,"&gt;0")&lt;Spielorte!$A$23,0,BE132/Spielorte!$A$23)</f>
        <v>0</v>
      </c>
      <c r="BU132" s="215">
        <f t="shared" si="123"/>
        <v>0</v>
      </c>
      <c r="BV132" s="214">
        <f t="shared" si="124"/>
        <v>0</v>
      </c>
    </row>
    <row r="133" spans="1:74" ht="17.100000000000001" customHeight="1" x14ac:dyDescent="0.2">
      <c r="A133" s="373" t="s">
        <v>3</v>
      </c>
      <c r="B133" s="17" t="str">
        <f t="shared" si="125"/>
        <v>Bothe, Thomas</v>
      </c>
      <c r="C133" s="18">
        <f t="shared" si="125"/>
        <v>25723</v>
      </c>
      <c r="D133" s="14">
        <f t="shared" si="125"/>
        <v>215</v>
      </c>
      <c r="E133" s="352">
        <f>IF(V133="","",V133)</f>
        <v>1</v>
      </c>
      <c r="F133" s="14">
        <f t="shared" si="104"/>
        <v>184</v>
      </c>
      <c r="G133" s="352">
        <f>IF(X133="","",X133)</f>
        <v>1</v>
      </c>
      <c r="H133" s="14">
        <f t="shared" si="105"/>
        <v>212</v>
      </c>
      <c r="I133" s="352">
        <f>IF(Z133="","",Z133)</f>
        <v>1</v>
      </c>
      <c r="J133" s="14">
        <f t="shared" si="106"/>
        <v>192</v>
      </c>
      <c r="K133" s="352">
        <f>IF(AB133="","",AB133)</f>
        <v>0</v>
      </c>
      <c r="L133" s="14">
        <f t="shared" si="107"/>
        <v>166</v>
      </c>
      <c r="M133" s="352">
        <f>IF(AD133="","",AD133)</f>
        <v>0</v>
      </c>
      <c r="N133" s="14">
        <f t="shared" si="108"/>
        <v>969</v>
      </c>
      <c r="O133" s="352">
        <f>IF(AF133="","",AF133)</f>
        <v>3</v>
      </c>
      <c r="R133" s="355" t="s">
        <v>3</v>
      </c>
      <c r="S133" s="68" t="str">
        <f>IF(T133=0,"",VLOOKUP(T133,Starter!$A$1:$D$196,2,FALSE))</f>
        <v>Bothe, Thomas</v>
      </c>
      <c r="T133" s="178">
        <v>25723</v>
      </c>
      <c r="U133" s="186">
        <v>215</v>
      </c>
      <c r="V133" s="95">
        <f>IF(SUM(U133:U135)+U147=0,0,IF(ABS(SUM(U133:U135))=U147,0.5,IF(ABS(SUM(U133:U135))&gt;U147,1,0)))</f>
        <v>1</v>
      </c>
      <c r="W133" s="186">
        <v>184</v>
      </c>
      <c r="X133" s="95">
        <f>IF(SUM(W133:W135)+W147=0,0,IF(ABS(SUM(W133:W135))=W147,0.5,IF(ABS(SUM(W133:W135))&gt;W147,1,0)))</f>
        <v>1</v>
      </c>
      <c r="Y133" s="186">
        <v>212</v>
      </c>
      <c r="Z133" s="95">
        <f>IF(SUM(Y133:Y135)+Y147=0,0,IF(ABS(SUM(Y133:Y135))=Y147,0.5,IF(ABS(SUM(Y133:Y135))&gt;Y147,1,0)))</f>
        <v>1</v>
      </c>
      <c r="AA133" s="186">
        <v>192</v>
      </c>
      <c r="AB133" s="95">
        <f>IF(SUM(AA133:AA135)+AA147=0,0,IF(ABS(SUM(AA133:AA135))=AA147,0.5,IF(ABS(SUM(AA133:AA135))&gt;AA147,1,0)))</f>
        <v>0</v>
      </c>
      <c r="AC133" s="186">
        <v>166</v>
      </c>
      <c r="AD133" s="95">
        <f>IF(SUM(AC133:AC135)+AC147=0,0,IF(ABS(SUM(AC133:AC135))=AC147,0.5,IF(ABS(SUM(AC133:AC135))&gt;AC147,1,0)))</f>
        <v>0</v>
      </c>
      <c r="AE133" s="195">
        <f t="shared" si="109"/>
        <v>969</v>
      </c>
      <c r="AF133" s="180">
        <f>SUM(V133+X133+Z133+AB133+AD133)</f>
        <v>3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0"/>
        <v>25723</v>
      </c>
      <c r="BE133" s="213">
        <f t="shared" si="111"/>
        <v>969</v>
      </c>
      <c r="BF133" s="215">
        <f t="shared" si="112"/>
        <v>5</v>
      </c>
      <c r="BG133" s="215">
        <f t="shared" si="113"/>
        <v>5</v>
      </c>
      <c r="BH133" s="215">
        <f t="shared" si="114"/>
        <v>215</v>
      </c>
      <c r="BI133" s="215">
        <f t="shared" si="115"/>
        <v>184</v>
      </c>
      <c r="BJ133" s="215">
        <f t="shared" si="116"/>
        <v>212</v>
      </c>
      <c r="BK133" s="215">
        <f t="shared" si="117"/>
        <v>192</v>
      </c>
      <c r="BL133" s="215">
        <f t="shared" si="118"/>
        <v>166</v>
      </c>
      <c r="BM133" s="216"/>
      <c r="BN133" s="214"/>
      <c r="BO133" s="215">
        <f t="shared" si="119"/>
        <v>215</v>
      </c>
      <c r="BP133" s="215">
        <f t="shared" si="120"/>
        <v>0</v>
      </c>
      <c r="BQ133" s="215" t="str">
        <f t="shared" si="126"/>
        <v>Castra Regina Regensburg 2</v>
      </c>
      <c r="BR133" s="214">
        <f t="shared" si="121"/>
        <v>2</v>
      </c>
      <c r="BS133" s="215">
        <f t="shared" si="122"/>
        <v>969</v>
      </c>
      <c r="BT133" s="215">
        <f>IF(COUNTIF(BH133:BL133,"&gt;0")&lt;Spielorte!$A$23,0,BE133/Spielorte!$A$23)</f>
        <v>193.8</v>
      </c>
      <c r="BU133" s="215">
        <f t="shared" si="123"/>
        <v>0</v>
      </c>
      <c r="BV133" s="214">
        <f t="shared" si="124"/>
        <v>0</v>
      </c>
    </row>
    <row r="134" spans="1:74" ht="17.100000000000001" customHeight="1" x14ac:dyDescent="0.2">
      <c r="A134" s="374"/>
      <c r="B134" s="19" t="str">
        <f t="shared" si="125"/>
        <v/>
      </c>
      <c r="C134" s="20" t="str">
        <f t="shared" si="125"/>
        <v/>
      </c>
      <c r="D134" s="15" t="str">
        <f t="shared" si="125"/>
        <v/>
      </c>
      <c r="E134" s="353"/>
      <c r="F134" s="15" t="str">
        <f t="shared" si="104"/>
        <v/>
      </c>
      <c r="G134" s="353"/>
      <c r="H134" s="15" t="str">
        <f t="shared" si="105"/>
        <v/>
      </c>
      <c r="I134" s="353"/>
      <c r="J134" s="15" t="str">
        <f t="shared" si="106"/>
        <v/>
      </c>
      <c r="K134" s="353"/>
      <c r="L134" s="15" t="str">
        <f t="shared" si="107"/>
        <v/>
      </c>
      <c r="M134" s="353"/>
      <c r="N134" s="15" t="str">
        <f t="shared" si="108"/>
        <v/>
      </c>
      <c r="O134" s="353"/>
      <c r="R134" s="356"/>
      <c r="S134" s="68" t="str">
        <f>IF(T134=0,"",VLOOKUP(T134,Starter!$A$1:$D$196,2,FALSE))</f>
        <v/>
      </c>
      <c r="T134" s="176"/>
      <c r="U134" s="184"/>
      <c r="V134" s="96"/>
      <c r="W134" s="184"/>
      <c r="X134" s="96"/>
      <c r="Y134" s="184"/>
      <c r="Z134" s="96"/>
      <c r="AA134" s="184"/>
      <c r="AB134" s="96"/>
      <c r="AC134" s="184"/>
      <c r="AD134" s="96"/>
      <c r="AE134" s="196">
        <f t="shared" si="109"/>
        <v>0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0"/>
        <v>0</v>
      </c>
      <c r="BE134" s="213">
        <f t="shared" si="111"/>
        <v>0</v>
      </c>
      <c r="BF134" s="215">
        <f t="shared" si="112"/>
        <v>0</v>
      </c>
      <c r="BG134" s="215">
        <f t="shared" si="113"/>
        <v>0</v>
      </c>
      <c r="BH134" s="215" t="str">
        <f t="shared" si="114"/>
        <v/>
      </c>
      <c r="BI134" s="215" t="str">
        <f t="shared" si="115"/>
        <v/>
      </c>
      <c r="BJ134" s="215" t="str">
        <f t="shared" si="116"/>
        <v/>
      </c>
      <c r="BK134" s="215" t="str">
        <f t="shared" si="117"/>
        <v/>
      </c>
      <c r="BL134" s="215" t="str">
        <f t="shared" si="118"/>
        <v/>
      </c>
      <c r="BM134" s="216"/>
      <c r="BN134" s="214"/>
      <c r="BO134" s="215">
        <f t="shared" si="119"/>
        <v>0</v>
      </c>
      <c r="BP134" s="215">
        <f t="shared" si="120"/>
        <v>0</v>
      </c>
      <c r="BQ134" s="215" t="str">
        <f t="shared" si="126"/>
        <v>Castra Regina Regensburg 2</v>
      </c>
      <c r="BR134" s="214">
        <f t="shared" si="121"/>
        <v>2</v>
      </c>
      <c r="BS134" s="215">
        <f t="shared" si="122"/>
        <v>0</v>
      </c>
      <c r="BT134" s="215">
        <f>IF(COUNTIF(BH134:BL134,"&gt;0")&lt;Spielorte!$A$23,0,BE134/Spielorte!$A$23)</f>
        <v>0</v>
      </c>
      <c r="BU134" s="215">
        <f t="shared" si="123"/>
        <v>0</v>
      </c>
      <c r="BV134" s="214">
        <f t="shared" si="124"/>
        <v>0</v>
      </c>
    </row>
    <row r="135" spans="1:74" ht="17.100000000000001" customHeight="1" thickBot="1" x14ac:dyDescent="0.25">
      <c r="A135" s="375"/>
      <c r="B135" s="21" t="str">
        <f t="shared" si="125"/>
        <v/>
      </c>
      <c r="C135" s="22" t="str">
        <f t="shared" si="125"/>
        <v/>
      </c>
      <c r="D135" s="9" t="str">
        <f t="shared" si="125"/>
        <v/>
      </c>
      <c r="E135" s="354"/>
      <c r="F135" s="9" t="str">
        <f t="shared" si="104"/>
        <v/>
      </c>
      <c r="G135" s="354"/>
      <c r="H135" s="9" t="str">
        <f t="shared" si="105"/>
        <v/>
      </c>
      <c r="I135" s="354"/>
      <c r="J135" s="9" t="str">
        <f t="shared" si="106"/>
        <v/>
      </c>
      <c r="K135" s="354"/>
      <c r="L135" s="9" t="str">
        <f t="shared" si="107"/>
        <v/>
      </c>
      <c r="M135" s="354"/>
      <c r="N135" s="9" t="str">
        <f t="shared" si="108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09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0"/>
        <v>0</v>
      </c>
      <c r="BE135" s="213">
        <f t="shared" si="111"/>
        <v>0</v>
      </c>
      <c r="BF135" s="215">
        <f t="shared" si="112"/>
        <v>0</v>
      </c>
      <c r="BG135" s="215">
        <f t="shared" si="113"/>
        <v>0</v>
      </c>
      <c r="BH135" s="215" t="str">
        <f t="shared" si="114"/>
        <v/>
      </c>
      <c r="BI135" s="215" t="str">
        <f t="shared" si="115"/>
        <v/>
      </c>
      <c r="BJ135" s="215" t="str">
        <f t="shared" si="116"/>
        <v/>
      </c>
      <c r="BK135" s="215" t="str">
        <f t="shared" si="117"/>
        <v/>
      </c>
      <c r="BL135" s="215" t="str">
        <f t="shared" si="118"/>
        <v/>
      </c>
      <c r="BM135" s="216"/>
      <c r="BN135" s="214"/>
      <c r="BO135" s="215">
        <f t="shared" si="119"/>
        <v>0</v>
      </c>
      <c r="BP135" s="215">
        <f t="shared" si="120"/>
        <v>0</v>
      </c>
      <c r="BQ135" s="215" t="str">
        <f t="shared" si="126"/>
        <v>Castra Regina Regensburg 2</v>
      </c>
      <c r="BR135" s="214">
        <f t="shared" si="121"/>
        <v>2</v>
      </c>
      <c r="BS135" s="215">
        <f t="shared" si="122"/>
        <v>0</v>
      </c>
      <c r="BT135" s="215">
        <f>IF(COUNTIF(BH135:BL135,"&gt;0")&lt;Spielorte!$A$23,0,BE135/Spielorte!$A$23)</f>
        <v>0</v>
      </c>
      <c r="BU135" s="215">
        <f t="shared" si="123"/>
        <v>0</v>
      </c>
      <c r="BV135" s="214">
        <f t="shared" si="124"/>
        <v>0</v>
      </c>
    </row>
    <row r="136" spans="1:74" ht="17.100000000000001" customHeight="1" x14ac:dyDescent="0.2">
      <c r="A136" s="373" t="s">
        <v>11</v>
      </c>
      <c r="B136" s="17" t="str">
        <f>IF(S136=0,"",S136)</f>
        <v>Humbs, Martin</v>
      </c>
      <c r="C136" s="18">
        <f t="shared" si="125"/>
        <v>38046</v>
      </c>
      <c r="D136" s="14">
        <f t="shared" si="125"/>
        <v>185</v>
      </c>
      <c r="E136" s="352">
        <f>IF(V136="","",V136)</f>
        <v>1</v>
      </c>
      <c r="F136" s="14">
        <f t="shared" si="104"/>
        <v>190</v>
      </c>
      <c r="G136" s="352">
        <f>IF(X136="","",X136)</f>
        <v>1</v>
      </c>
      <c r="H136" s="14">
        <f t="shared" si="105"/>
        <v>207</v>
      </c>
      <c r="I136" s="352">
        <f>IF(Z136="","",Z136)</f>
        <v>1</v>
      </c>
      <c r="J136" s="14">
        <f t="shared" si="106"/>
        <v>188</v>
      </c>
      <c r="K136" s="352">
        <f>IF(AB136="","",AB136)</f>
        <v>0</v>
      </c>
      <c r="L136" s="14">
        <f t="shared" si="107"/>
        <v>168</v>
      </c>
      <c r="M136" s="352">
        <f>IF(AD136="","",AD136)</f>
        <v>0</v>
      </c>
      <c r="N136" s="14">
        <f t="shared" si="108"/>
        <v>938</v>
      </c>
      <c r="O136" s="352">
        <f>IF(AF136="","",AF136)</f>
        <v>3</v>
      </c>
      <c r="R136" s="355" t="s">
        <v>11</v>
      </c>
      <c r="S136" s="68" t="str">
        <f>IF(T136=0,"",VLOOKUP(T136,Starter!$A$1:$D$196,2,FALSE))</f>
        <v>Humbs, Martin</v>
      </c>
      <c r="T136" s="178">
        <v>38046</v>
      </c>
      <c r="U136" s="186">
        <v>185</v>
      </c>
      <c r="V136" s="95">
        <f>IF(SUM(U136:U138)+U148=0,0,IF(ABS(SUM(U136:U138))=U148,0.5,IF(ABS(SUM(U136:U138))&gt;U148,1,0)))</f>
        <v>1</v>
      </c>
      <c r="W136" s="186">
        <v>190</v>
      </c>
      <c r="X136" s="95">
        <f>IF(SUM(W136:W138)+W148=0,0,IF(ABS(SUM(W136:W138))=W148,0.5,IF(ABS(SUM(W136:W138))&gt;W148,1,0)))</f>
        <v>1</v>
      </c>
      <c r="Y136" s="186">
        <v>207</v>
      </c>
      <c r="Z136" s="95">
        <f>IF(SUM(Y136:Y138)+Y148=0,0,IF(ABS(SUM(Y136:Y138))=Y148,0.5,IF(ABS(SUM(Y136:Y138))&gt;Y148,1,0)))</f>
        <v>1</v>
      </c>
      <c r="AA136" s="186">
        <v>188</v>
      </c>
      <c r="AB136" s="95">
        <f>IF(SUM(AA136:AA138)+AA148=0,0,IF(ABS(SUM(AA136:AA138))=AA148,0.5,IF(ABS(SUM(AA136:AA138))&gt;AA148,1,0)))</f>
        <v>0</v>
      </c>
      <c r="AC136" s="186">
        <v>168</v>
      </c>
      <c r="AD136" s="95">
        <f>IF(SUM(AC136:AC138)+AC148=0,0,IF(ABS(SUM(AC136:AC138))=AC148,0.5,IF(ABS(SUM(AC136:AC138))&gt;AC148,1,0)))</f>
        <v>0</v>
      </c>
      <c r="AE136" s="195">
        <f t="shared" si="109"/>
        <v>938</v>
      </c>
      <c r="AF136" s="180">
        <f>SUM(V136+X136+Z136+AB136+AD136)</f>
        <v>3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0"/>
        <v>38046</v>
      </c>
      <c r="BE136" s="213">
        <f t="shared" si="111"/>
        <v>938</v>
      </c>
      <c r="BF136" s="215">
        <f t="shared" si="112"/>
        <v>5</v>
      </c>
      <c r="BG136" s="215">
        <f t="shared" si="113"/>
        <v>5</v>
      </c>
      <c r="BH136" s="215">
        <f t="shared" si="114"/>
        <v>185</v>
      </c>
      <c r="BI136" s="215">
        <f t="shared" si="115"/>
        <v>190</v>
      </c>
      <c r="BJ136" s="215">
        <f t="shared" si="116"/>
        <v>207</v>
      </c>
      <c r="BK136" s="215">
        <f t="shared" si="117"/>
        <v>188</v>
      </c>
      <c r="BL136" s="215">
        <f t="shared" si="118"/>
        <v>168</v>
      </c>
      <c r="BM136" s="216"/>
      <c r="BN136" s="214"/>
      <c r="BO136" s="215">
        <f t="shared" si="119"/>
        <v>207</v>
      </c>
      <c r="BP136" s="215">
        <f t="shared" si="120"/>
        <v>0</v>
      </c>
      <c r="BQ136" s="215" t="str">
        <f t="shared" si="126"/>
        <v>Castra Regina Regensburg 2</v>
      </c>
      <c r="BR136" s="214">
        <f t="shared" si="121"/>
        <v>2</v>
      </c>
      <c r="BS136" s="215">
        <f t="shared" si="122"/>
        <v>938</v>
      </c>
      <c r="BT136" s="215">
        <f>IF(COUNTIF(BH136:BL136,"&gt;0")&lt;Spielorte!$A$23,0,BE136/Spielorte!$A$23)</f>
        <v>187.6</v>
      </c>
      <c r="BU136" s="215">
        <f t="shared" si="123"/>
        <v>0</v>
      </c>
      <c r="BV136" s="214">
        <f t="shared" si="124"/>
        <v>0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25"/>
        <v/>
      </c>
      <c r="D137" s="15" t="str">
        <f t="shared" si="125"/>
        <v/>
      </c>
      <c r="E137" s="353"/>
      <c r="F137" s="15" t="str">
        <f t="shared" si="104"/>
        <v/>
      </c>
      <c r="G137" s="353"/>
      <c r="H137" s="15" t="str">
        <f t="shared" si="105"/>
        <v/>
      </c>
      <c r="I137" s="353"/>
      <c r="J137" s="15" t="str">
        <f t="shared" si="106"/>
        <v/>
      </c>
      <c r="K137" s="353"/>
      <c r="L137" s="15" t="str">
        <f t="shared" si="107"/>
        <v/>
      </c>
      <c r="M137" s="353"/>
      <c r="N137" s="15" t="str">
        <f t="shared" si="108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09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0"/>
        <v>0</v>
      </c>
      <c r="BE137" s="213">
        <f t="shared" si="111"/>
        <v>0</v>
      </c>
      <c r="BF137" s="215">
        <f t="shared" si="112"/>
        <v>0</v>
      </c>
      <c r="BG137" s="215">
        <f t="shared" si="113"/>
        <v>0</v>
      </c>
      <c r="BH137" s="215" t="str">
        <f t="shared" si="114"/>
        <v/>
      </c>
      <c r="BI137" s="215" t="str">
        <f t="shared" si="115"/>
        <v/>
      </c>
      <c r="BJ137" s="215" t="str">
        <f t="shared" si="116"/>
        <v/>
      </c>
      <c r="BK137" s="215" t="str">
        <f t="shared" si="117"/>
        <v/>
      </c>
      <c r="BL137" s="215" t="str">
        <f t="shared" si="118"/>
        <v/>
      </c>
      <c r="BM137" s="216"/>
      <c r="BN137" s="214"/>
      <c r="BO137" s="215">
        <f t="shared" si="119"/>
        <v>0</v>
      </c>
      <c r="BP137" s="215">
        <f t="shared" si="120"/>
        <v>0</v>
      </c>
      <c r="BQ137" s="215" t="str">
        <f t="shared" si="126"/>
        <v>Castra Regina Regensburg 2</v>
      </c>
      <c r="BR137" s="214">
        <f t="shared" si="121"/>
        <v>2</v>
      </c>
      <c r="BS137" s="215">
        <f t="shared" si="122"/>
        <v>0</v>
      </c>
      <c r="BT137" s="215">
        <f>IF(COUNTIF(BH137:BL137,"&gt;0")&lt;Spielorte!$A$23,0,BE137/Spielorte!$A$23)</f>
        <v>0</v>
      </c>
      <c r="BU137" s="215">
        <f t="shared" si="123"/>
        <v>0</v>
      </c>
      <c r="BV137" s="214">
        <f t="shared" si="124"/>
        <v>0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25"/>
        <v/>
      </c>
      <c r="D138" s="9" t="str">
        <f t="shared" si="125"/>
        <v/>
      </c>
      <c r="E138" s="354"/>
      <c r="F138" s="9" t="str">
        <f t="shared" si="104"/>
        <v/>
      </c>
      <c r="G138" s="354"/>
      <c r="H138" s="9" t="str">
        <f t="shared" si="105"/>
        <v/>
      </c>
      <c r="I138" s="354"/>
      <c r="J138" s="9" t="str">
        <f t="shared" si="106"/>
        <v/>
      </c>
      <c r="K138" s="354"/>
      <c r="L138" s="9" t="str">
        <f t="shared" si="107"/>
        <v/>
      </c>
      <c r="M138" s="354"/>
      <c r="N138" s="9" t="str">
        <f t="shared" si="108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09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0"/>
        <v>0</v>
      </c>
      <c r="BE138" s="213">
        <f t="shared" si="111"/>
        <v>0</v>
      </c>
      <c r="BF138" s="215">
        <f t="shared" si="112"/>
        <v>0</v>
      </c>
      <c r="BG138" s="215">
        <f t="shared" si="113"/>
        <v>0</v>
      </c>
      <c r="BH138" s="215" t="str">
        <f t="shared" si="114"/>
        <v/>
      </c>
      <c r="BI138" s="215" t="str">
        <f t="shared" si="115"/>
        <v/>
      </c>
      <c r="BJ138" s="215" t="str">
        <f t="shared" si="116"/>
        <v/>
      </c>
      <c r="BK138" s="215" t="str">
        <f t="shared" si="117"/>
        <v/>
      </c>
      <c r="BL138" s="215" t="str">
        <f t="shared" si="118"/>
        <v/>
      </c>
      <c r="BM138" s="216"/>
      <c r="BN138" s="214"/>
      <c r="BO138" s="215">
        <f t="shared" si="119"/>
        <v>0</v>
      </c>
      <c r="BP138" s="215">
        <f t="shared" si="120"/>
        <v>0</v>
      </c>
      <c r="BQ138" s="215" t="str">
        <f t="shared" si="126"/>
        <v>Castra Regina Regensburg 2</v>
      </c>
      <c r="BR138" s="214">
        <f t="shared" si="121"/>
        <v>2</v>
      </c>
      <c r="BS138" s="215">
        <f t="shared" si="122"/>
        <v>0</v>
      </c>
      <c r="BT138" s="215">
        <f>IF(COUNTIF(BH138:BL138,"&gt;0")&lt;Spielorte!$A$23,0,BE138/Spielorte!$A$23)</f>
        <v>0</v>
      </c>
      <c r="BU138" s="215">
        <f t="shared" si="123"/>
        <v>0</v>
      </c>
      <c r="BV138" s="214">
        <f t="shared" si="124"/>
        <v>0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25"/>
        <v/>
      </c>
      <c r="D139" s="16">
        <f t="shared" si="125"/>
        <v>687</v>
      </c>
      <c r="E139" s="12">
        <f>IF(V139="","",V139)</f>
        <v>2</v>
      </c>
      <c r="F139" s="16">
        <f t="shared" si="104"/>
        <v>635</v>
      </c>
      <c r="G139" s="12">
        <f>IF(X139="","",X139)</f>
        <v>0</v>
      </c>
      <c r="H139" s="16">
        <f t="shared" si="105"/>
        <v>741</v>
      </c>
      <c r="I139" s="12">
        <f>IF(Z139="","",Z139)</f>
        <v>2</v>
      </c>
      <c r="J139" s="16">
        <f t="shared" si="106"/>
        <v>697</v>
      </c>
      <c r="K139" s="12">
        <f>IF(AB139="","",AB139)</f>
        <v>0</v>
      </c>
      <c r="L139" s="16">
        <f t="shared" si="107"/>
        <v>701</v>
      </c>
      <c r="M139" s="12">
        <f>IF(AD139="","",AD139)</f>
        <v>0</v>
      </c>
      <c r="N139" s="16">
        <f t="shared" si="108"/>
        <v>3461</v>
      </c>
      <c r="O139" s="12">
        <f>IF(AF139="","",AF139)</f>
        <v>4</v>
      </c>
      <c r="S139" s="11" t="s">
        <v>1791</v>
      </c>
      <c r="T139" s="71"/>
      <c r="U139" s="188">
        <f>ABS(SUM(U127:U129))+ABS(SUM(U130:U132))+ABS(SUM(U133:U135))+ABS(SUM(U136:U138))</f>
        <v>687</v>
      </c>
      <c r="V139" s="98">
        <f>IF(U139+U149=0,0,IF(U139=U149,1,IF(U139&gt;U149,2,0)))</f>
        <v>2</v>
      </c>
      <c r="W139" s="188">
        <f>ABS(SUM(W127:W129))+ABS(SUM(W130:W132))+ABS(SUM(W133:W135))+ABS(SUM(W136:W138))</f>
        <v>635</v>
      </c>
      <c r="X139" s="98">
        <f>IF(W139+W149=0,0,IF(W139=W149,1,IF(W139&gt;W149,2,0)))</f>
        <v>0</v>
      </c>
      <c r="Y139" s="188">
        <f>ABS(SUM(Y127:Y129))+ABS(SUM(Y130:Y132))+ABS(SUM(Y133:Y135))+ABS(SUM(Y136:Y138))</f>
        <v>741</v>
      </c>
      <c r="Z139" s="98">
        <f>IF(Y139+Y149=0,0,IF(Y139=Y149,1,IF(Y139&gt;Y149,2,0)))</f>
        <v>2</v>
      </c>
      <c r="AA139" s="188">
        <f>ABS(SUM(AA127:AA129))+ABS(SUM(AA130:AA132))+ABS(SUM(AA133:AA135))+ABS(SUM(AA136:AA138))</f>
        <v>697</v>
      </c>
      <c r="AB139" s="98">
        <f>IF(AA139+AA149=0,0,IF(AA139=AA149,1,IF(AA139&gt;AA149,2,0)))</f>
        <v>0</v>
      </c>
      <c r="AC139" s="188">
        <f>ABS(SUM(AC127:AC129))+ABS(SUM(AC130:AC132))+ABS(SUM(AC133:AC135))+ABS(SUM(AC136:AC138))</f>
        <v>701</v>
      </c>
      <c r="AD139" s="98">
        <f>IF(AC139+AC149=0,0,IF(AC139=AC149,1,IF(AC139&gt;AC149,2,0)))</f>
        <v>0</v>
      </c>
      <c r="AE139" s="198">
        <f>SUM(U139+W139+Y139+AA139+AC139)</f>
        <v>3461</v>
      </c>
      <c r="AF139" s="12">
        <f>SUM(V139+X139+Z139+AB139+AD139)</f>
        <v>4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25"/>
        <v/>
      </c>
      <c r="D140" s="1" t="str">
        <f t="shared" si="125"/>
        <v/>
      </c>
      <c r="E140" s="23">
        <f>IF(V140="","",V140)</f>
        <v>4</v>
      </c>
      <c r="F140" s="1" t="str">
        <f t="shared" si="104"/>
        <v/>
      </c>
      <c r="G140" s="23">
        <f>IF(X140="","",X140)</f>
        <v>2</v>
      </c>
      <c r="H140" s="1" t="str">
        <f t="shared" si="105"/>
        <v/>
      </c>
      <c r="I140" s="23">
        <f>IF(Z140="","",Z140)</f>
        <v>5</v>
      </c>
      <c r="J140" s="1" t="str">
        <f t="shared" si="106"/>
        <v/>
      </c>
      <c r="K140" s="23">
        <f>IF(AB140="","",AB140)</f>
        <v>1</v>
      </c>
      <c r="L140" s="1" t="str">
        <f t="shared" si="107"/>
        <v/>
      </c>
      <c r="M140" s="23">
        <f>IF(AD140="","",AD140)</f>
        <v>0</v>
      </c>
      <c r="N140" s="1" t="str">
        <f t="shared" si="108"/>
        <v/>
      </c>
      <c r="O140" s="23">
        <f>IF(AF140="","",AF140)</f>
        <v>12</v>
      </c>
      <c r="S140" s="8" t="s">
        <v>1802</v>
      </c>
      <c r="T140" s="1"/>
      <c r="U140" s="1"/>
      <c r="V140" s="72">
        <f>SUM(V127:V139)</f>
        <v>4</v>
      </c>
      <c r="W140" s="1"/>
      <c r="X140" s="72">
        <f>SUM(X127:X139)</f>
        <v>2</v>
      </c>
      <c r="Y140" s="1"/>
      <c r="Z140" s="72">
        <f>SUM(Z127:Z139)</f>
        <v>5</v>
      </c>
      <c r="AA140" s="1"/>
      <c r="AB140" s="72">
        <f>SUM(AB127:AB139)</f>
        <v>1</v>
      </c>
      <c r="AC140" s="1"/>
      <c r="AD140" s="72">
        <f>SUM(AD127:AD139)</f>
        <v>0</v>
      </c>
      <c r="AE140" s="1"/>
      <c r="AF140" s="72">
        <f>SUM(AF127:AF139)</f>
        <v>12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12</v>
      </c>
      <c r="BB140" s="213">
        <f>AE139</f>
        <v>3461</v>
      </c>
      <c r="BC140" s="214">
        <f>+S122</f>
        <v>5</v>
      </c>
      <c r="BF140" s="215">
        <f>SUM(BF121:BF139)</f>
        <v>20</v>
      </c>
      <c r="BM140" s="212">
        <f>+BB140/1000000+BA140</f>
        <v>12.003461</v>
      </c>
      <c r="BN140" s="214">
        <f>RANK(BM140,BM:BM)</f>
        <v>5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M142" si="127">IF(S142=0,"",S142)</f>
        <v>Gegner-Nr.:</v>
      </c>
      <c r="C142" s="5" t="str">
        <f t="shared" si="127"/>
        <v>&gt;&gt;&gt;&gt;</v>
      </c>
      <c r="D142" s="350">
        <f t="shared" si="127"/>
        <v>4</v>
      </c>
      <c r="E142" s="350" t="str">
        <f t="shared" si="127"/>
        <v/>
      </c>
      <c r="F142" s="350">
        <f t="shared" si="127"/>
        <v>6</v>
      </c>
      <c r="G142" s="350" t="str">
        <f t="shared" si="127"/>
        <v/>
      </c>
      <c r="H142" s="350">
        <f t="shared" si="127"/>
        <v>3</v>
      </c>
      <c r="I142" s="350" t="str">
        <f t="shared" si="127"/>
        <v/>
      </c>
      <c r="J142" s="350">
        <f t="shared" si="127"/>
        <v>1</v>
      </c>
      <c r="K142" s="350" t="str">
        <f t="shared" si="127"/>
        <v/>
      </c>
      <c r="L142" s="350">
        <f t="shared" si="127"/>
        <v>2</v>
      </c>
      <c r="M142" s="350" t="str">
        <f t="shared" si="127"/>
        <v/>
      </c>
      <c r="N142" s="351"/>
      <c r="O142" s="351"/>
      <c r="S142" s="13" t="s">
        <v>1789</v>
      </c>
      <c r="T142" s="5" t="s">
        <v>1790</v>
      </c>
      <c r="U142" s="369">
        <f>VLOOKUP($S122,Schlüssel!$A$5:$DG$10,23)</f>
        <v>4</v>
      </c>
      <c r="V142" s="370"/>
      <c r="W142" s="369">
        <f>VLOOKUP($S122,Schlüssel!$A$5:$EK$10,24)</f>
        <v>6</v>
      </c>
      <c r="X142" s="370"/>
      <c r="Y142" s="369">
        <f>VLOOKUP($S122,Schlüssel!$A$5:$EK$10,25)</f>
        <v>3</v>
      </c>
      <c r="Z142" s="370"/>
      <c r="AA142" s="369">
        <f>VLOOKUP($S122,Schlüssel!$A$5:$EK$10,26)</f>
        <v>1</v>
      </c>
      <c r="AB142" s="370"/>
      <c r="AC142" s="369">
        <f>VLOOKUP($S122,Schlüssel!$A$5:$EK$10,27)</f>
        <v>2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ref="B143:M144" si="128">IF(S143=0,"",S143)</f>
        <v/>
      </c>
      <c r="C143" s="1" t="str">
        <f t="shared" si="128"/>
        <v/>
      </c>
      <c r="D143" s="347" t="str">
        <f t="shared" si="128"/>
        <v>Kings Club Bayreuth Land 3</v>
      </c>
      <c r="E143" s="348" t="str">
        <f t="shared" si="128"/>
        <v/>
      </c>
      <c r="F143" s="347" t="str">
        <f t="shared" si="128"/>
        <v>Adler Nürnberg 1</v>
      </c>
      <c r="G143" s="348" t="str">
        <f t="shared" si="128"/>
        <v/>
      </c>
      <c r="H143" s="347" t="str">
        <f t="shared" si="128"/>
        <v>Kings Club Bayreuth Land 2</v>
      </c>
      <c r="I143" s="348" t="str">
        <f t="shared" si="128"/>
        <v/>
      </c>
      <c r="J143" s="347" t="str">
        <f t="shared" si="128"/>
        <v>Castra Regina Regensburg 3</v>
      </c>
      <c r="K143" s="348" t="str">
        <f t="shared" si="128"/>
        <v/>
      </c>
      <c r="L143" s="347" t="str">
        <f t="shared" si="128"/>
        <v>Herzogenaurach 1</v>
      </c>
      <c r="M143" s="348" t="str">
        <f t="shared" si="128"/>
        <v/>
      </c>
      <c r="N143" s="349"/>
      <c r="O143" s="349"/>
      <c r="S143" s="4"/>
      <c r="T143" s="1"/>
      <c r="U143" s="347" t="str">
        <f>VLOOKUP(U142,Schlüssel!$A$5:$K$10,2)</f>
        <v>Kings Club Bayreuth Land 3</v>
      </c>
      <c r="V143" s="348"/>
      <c r="W143" s="347" t="str">
        <f>VLOOKUP(W142,Schlüssel!$A$5:$K$10,2)</f>
        <v>Adler Nürnberg 1</v>
      </c>
      <c r="X143" s="348"/>
      <c r="Y143" s="347" t="str">
        <f>VLOOKUP(Y142,Schlüssel!$A$5:$K$10,2)</f>
        <v>Kings Club Bayreuth Land 2</v>
      </c>
      <c r="Z143" s="348"/>
      <c r="AA143" s="347" t="str">
        <f>VLOOKUP(AA142,Schlüssel!$A$5:$K$10,2)</f>
        <v>Castra Regina Regensburg 3</v>
      </c>
      <c r="AB143" s="348"/>
      <c r="AC143" s="347" t="str">
        <f>VLOOKUP(AC142,Schlüssel!$A$5:$K$10,2)</f>
        <v>Herzogenaurach 1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28"/>
        <v/>
      </c>
      <c r="C144" s="1" t="str">
        <f t="shared" si="128"/>
        <v/>
      </c>
      <c r="D144" s="346" t="str">
        <f t="shared" si="128"/>
        <v/>
      </c>
      <c r="E144" s="346" t="str">
        <f t="shared" si="128"/>
        <v/>
      </c>
      <c r="F144" s="346" t="str">
        <f t="shared" si="128"/>
        <v/>
      </c>
      <c r="G144" s="346" t="str">
        <f t="shared" si="128"/>
        <v/>
      </c>
      <c r="H144" s="346" t="str">
        <f t="shared" si="128"/>
        <v/>
      </c>
      <c r="I144" s="346" t="str">
        <f t="shared" si="128"/>
        <v/>
      </c>
      <c r="J144" s="346" t="str">
        <f t="shared" si="128"/>
        <v/>
      </c>
      <c r="K144" s="346" t="str">
        <f t="shared" si="128"/>
        <v/>
      </c>
      <c r="L144" s="346" t="str">
        <f t="shared" si="128"/>
        <v/>
      </c>
      <c r="M144" s="346" t="str">
        <f t="shared" si="128"/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ref="B145:C149" si="129">IF(S145=0,"",S145)</f>
        <v>Spieler 1</v>
      </c>
      <c r="C145" s="372" t="str">
        <f t="shared" si="129"/>
        <v/>
      </c>
      <c r="D145" s="344">
        <f>IF(U145=301,"",U145)</f>
        <v>181</v>
      </c>
      <c r="E145" s="344" t="str">
        <f>IF(V145=0,"",V145)</f>
        <v/>
      </c>
      <c r="F145" s="344">
        <f>IF(W145=301,"",W145)</f>
        <v>181</v>
      </c>
      <c r="G145" s="344" t="str">
        <f>IF(X145=0,"",X145)</f>
        <v/>
      </c>
      <c r="H145" s="344">
        <f>IF(Y145=301,"",Y145)</f>
        <v>168</v>
      </c>
      <c r="I145" s="344" t="str">
        <f>IF(Z145=0,"",Z145)</f>
        <v/>
      </c>
      <c r="J145" s="344">
        <f>IF(AA145=301,"",AA145)</f>
        <v>176</v>
      </c>
      <c r="K145" s="344" t="str">
        <f>IF(AB145=0,"",AB145)</f>
        <v/>
      </c>
      <c r="L145" s="344">
        <f>IF(AC145=301,"",AC145)</f>
        <v>257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181</v>
      </c>
      <c r="V145" s="368"/>
      <c r="W145" s="367">
        <f>ABS(INDEX(W:W,MATCH(W142,$S:$S,0)+5)+INDEX(W:W,MATCH(W142,$S:$S,0)+6)+INDEX(W:W,MATCH(W142,$S:$S,0)+7))</f>
        <v>181</v>
      </c>
      <c r="X145" s="368"/>
      <c r="Y145" s="367">
        <f>ABS(INDEX(Y:Y,MATCH(Y142,$S:$S,0)+5)+INDEX(Y:Y,MATCH(Y142,$S:$S,0)+6)+INDEX(Y:Y,MATCH(Y142,$S:$S,0)+7))</f>
        <v>168</v>
      </c>
      <c r="Z145" s="368"/>
      <c r="AA145" s="367">
        <f>ABS(INDEX(AA:AA,MATCH(AA142,$S:$S,0)+5)+INDEX(AA:AA,MATCH(AA142,$S:$S,0)+6)+INDEX(AA:AA,MATCH(AA142,$S:$S,0)+7))</f>
        <v>176</v>
      </c>
      <c r="AB145" s="368"/>
      <c r="AC145" s="367">
        <f>ABS(INDEX(AC:AC,MATCH(AC142,$S:$S,0)+5)+INDEX(AC:AC,MATCH(AC142,$S:$S,0)+6)+INDEX(AC:AC,MATCH(AC142,$S:$S,0)+7))</f>
        <v>257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29"/>
        <v>Spieler 2</v>
      </c>
      <c r="C146" s="372" t="str">
        <f t="shared" si="129"/>
        <v/>
      </c>
      <c r="D146" s="344">
        <f>IF(U146=301,"",U146)</f>
        <v>183</v>
      </c>
      <c r="E146" s="344" t="str">
        <f>IF(V146=0,"",V146)</f>
        <v/>
      </c>
      <c r="F146" s="344">
        <f>IF(W146=301,"",W146)</f>
        <v>160</v>
      </c>
      <c r="G146" s="344" t="str">
        <f>IF(X146=0,"",X146)</f>
        <v/>
      </c>
      <c r="H146" s="344">
        <f>IF(Y146=301,"",Y146)</f>
        <v>178</v>
      </c>
      <c r="I146" s="344" t="str">
        <f>IF(Z146=0,"",Z146)</f>
        <v/>
      </c>
      <c r="J146" s="344">
        <f>IF(AA146=301,"",AA146)</f>
        <v>138</v>
      </c>
      <c r="K146" s="344" t="str">
        <f>IF(AB146=0,"",AB146)</f>
        <v/>
      </c>
      <c r="L146" s="344">
        <f>IF(AC146=301,"",AC146)</f>
        <v>193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183</v>
      </c>
      <c r="V146" s="366"/>
      <c r="W146" s="365">
        <f>ABS(INDEX(W:W,MATCH(W142,$S:$S,0)+8)+INDEX(W:W,MATCH(W142,$S:$S,0)+9)+INDEX(W:W,MATCH(W142,$S:$S,0)+10))</f>
        <v>160</v>
      </c>
      <c r="X146" s="366"/>
      <c r="Y146" s="365">
        <f>ABS(INDEX(Y:Y,MATCH(Y142,$S:$S,0)+8)+INDEX(Y:Y,MATCH(Y142,$S:$S,0)+9)+INDEX(Y:Y,MATCH(Y142,$S:$S,0)+10))</f>
        <v>178</v>
      </c>
      <c r="Z146" s="366"/>
      <c r="AA146" s="365">
        <f>ABS(INDEX(AA:AA,MATCH(AA142,$S:$S,0)+8)+INDEX(AA:AA,MATCH(AA142,$S:$S,0)+9)+INDEX(AA:AA,MATCH(AA142,$S:$S,0)+10))</f>
        <v>138</v>
      </c>
      <c r="AB146" s="366"/>
      <c r="AC146" s="365">
        <f>ABS(INDEX(AC:AC,MATCH(AC142,$S:$S,0)+8)+INDEX(AC:AC,MATCH(AC142,$S:$S,0)+9)+INDEX(AC:AC,MATCH(AC142,$S:$S,0)+10))</f>
        <v>193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29"/>
        <v>Spieler 3</v>
      </c>
      <c r="C147" s="372" t="str">
        <f t="shared" si="129"/>
        <v/>
      </c>
      <c r="D147" s="344">
        <f>IF(U147=301,"",U147)</f>
        <v>179</v>
      </c>
      <c r="E147" s="344" t="str">
        <f>IF(V147=0,"",V147)</f>
        <v/>
      </c>
      <c r="F147" s="344">
        <f>IF(W147=301,"",W147)</f>
        <v>148</v>
      </c>
      <c r="G147" s="344" t="str">
        <f>IF(X147=0,"",X147)</f>
        <v/>
      </c>
      <c r="H147" s="344">
        <f>IF(Y147=301,"",Y147)</f>
        <v>140</v>
      </c>
      <c r="I147" s="344" t="str">
        <f>IF(Z147=0,"",Z147)</f>
        <v/>
      </c>
      <c r="J147" s="344">
        <f>IF(AA147=301,"",AA147)</f>
        <v>203</v>
      </c>
      <c r="K147" s="344" t="str">
        <f>IF(AB147=0,"",AB147)</f>
        <v/>
      </c>
      <c r="L147" s="344">
        <f>IF(AC147=301,"",AC147)</f>
        <v>172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179</v>
      </c>
      <c r="V147" s="366"/>
      <c r="W147" s="365">
        <f>ABS(INDEX(W:W,MATCH(W142,$S:$S,0)+11)+INDEX(W:W,MATCH(W142,$S:$S,0)+12)+INDEX(W:W,MATCH(W142,$S:$S,0)+13))</f>
        <v>148</v>
      </c>
      <c r="X147" s="366"/>
      <c r="Y147" s="365">
        <f>ABS(INDEX(Y:Y,MATCH(Y142,$S:$S,0)+11)+INDEX(Y:Y,MATCH(Y142,$S:$S,0)+12)+INDEX(Y:Y,MATCH(Y142,$S:$S,0)+13))</f>
        <v>140</v>
      </c>
      <c r="Z147" s="366"/>
      <c r="AA147" s="365">
        <f>ABS(INDEX(AA:AA,MATCH(AA142,$S:$S,0)+11)+INDEX(AA:AA,MATCH(AA142,$S:$S,0)+12)+INDEX(AA:AA,MATCH(AA142,$S:$S,0)+13))</f>
        <v>203</v>
      </c>
      <c r="AB147" s="366"/>
      <c r="AC147" s="365">
        <f>ABS(INDEX(AC:AC,MATCH(AC142,$S:$S,0)+11)+INDEX(AC:AC,MATCH(AC142,$S:$S,0)+12)+INDEX(AC:AC,MATCH(AC142,$S:$S,0)+13))</f>
        <v>172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29"/>
        <v>Spieler 4</v>
      </c>
      <c r="C148" s="372" t="str">
        <f t="shared" si="129"/>
        <v/>
      </c>
      <c r="D148" s="344">
        <f>IF(U148=301,"",U148)</f>
        <v>142</v>
      </c>
      <c r="E148" s="344" t="str">
        <f>IF(V148=0,"",V148)</f>
        <v/>
      </c>
      <c r="F148" s="344">
        <f>IF(W148=301,"",W148)</f>
        <v>181</v>
      </c>
      <c r="G148" s="344" t="str">
        <f>IF(X148=0,"",X148)</f>
        <v/>
      </c>
      <c r="H148" s="344">
        <f>IF(Y148=301,"",Y148)</f>
        <v>199</v>
      </c>
      <c r="I148" s="344" t="str">
        <f>IF(Z148=0,"",Z148)</f>
        <v/>
      </c>
      <c r="J148" s="344">
        <f>IF(AA148=301,"",AA148)</f>
        <v>212</v>
      </c>
      <c r="K148" s="344" t="str">
        <f>IF(AB148=0,"",AB148)</f>
        <v/>
      </c>
      <c r="L148" s="344">
        <f>IF(AC148=301,"",AC148)</f>
        <v>169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142</v>
      </c>
      <c r="V148" s="366"/>
      <c r="W148" s="365">
        <f>ABS(INDEX(W:W,MATCH(W142,$S:$S,0)+14)+INDEX(W:W,MATCH(W142,$S:$S,0)+15)+INDEX(W:W,MATCH(W142,$S:$S,0)+16))</f>
        <v>181</v>
      </c>
      <c r="X148" s="366"/>
      <c r="Y148" s="365">
        <f>ABS(INDEX(Y:Y,MATCH(Y142,$S:$S,0)+14)+INDEX(Y:Y,MATCH(Y142,$S:$S,0)+15)+INDEX(Y:Y,MATCH(Y142,$S:$S,0)+16))</f>
        <v>199</v>
      </c>
      <c r="Z148" s="366"/>
      <c r="AA148" s="365">
        <f>ABS(INDEX(AA:AA,MATCH(AA142,$S:$S,0)+14)+INDEX(AA:AA,MATCH(AA142,$S:$S,0)+15)+INDEX(AA:AA,MATCH(AA142,$S:$S,0)+16))</f>
        <v>212</v>
      </c>
      <c r="AB148" s="366"/>
      <c r="AC148" s="365">
        <f>ABS(INDEX(AC:AC,MATCH(AC142,$S:$S,0)+14)+INDEX(AC:AC,MATCH(AC142,$S:$S,0)+15)+INDEX(AC:AC,MATCH(AC142,$S:$S,0)+16))</f>
        <v>169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29"/>
        <v>Gesamt</v>
      </c>
      <c r="C149" s="360" t="str">
        <f t="shared" si="129"/>
        <v/>
      </c>
      <c r="D149" s="343">
        <f>IF(U149=1505,"",U149)</f>
        <v>685</v>
      </c>
      <c r="E149" s="343" t="str">
        <f>IF(V149=0,"",V149)</f>
        <v/>
      </c>
      <c r="F149" s="343">
        <f>IF(W149=1505,"",W149)</f>
        <v>670</v>
      </c>
      <c r="G149" s="343" t="str">
        <f>IF(X149=0,"",X149)</f>
        <v/>
      </c>
      <c r="H149" s="343">
        <f>IF(Y149=1505,"",Y149)</f>
        <v>685</v>
      </c>
      <c r="I149" s="343" t="str">
        <f>IF(Z149=0,"",Z149)</f>
        <v/>
      </c>
      <c r="J149" s="343">
        <f>IF(AA149=1505,"",AA149)</f>
        <v>729</v>
      </c>
      <c r="K149" s="343" t="str">
        <f>IF(AB149=0,"",AB149)</f>
        <v/>
      </c>
      <c r="L149" s="343">
        <f>IF(AC149=1505,"",AC149)</f>
        <v>791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685</v>
      </c>
      <c r="V149" s="360"/>
      <c r="W149" s="359">
        <f>SUM(W145:W148)</f>
        <v>670</v>
      </c>
      <c r="X149" s="360"/>
      <c r="Y149" s="359">
        <f>SUM(Y145:Y148)</f>
        <v>685</v>
      </c>
      <c r="Z149" s="360"/>
      <c r="AA149" s="359">
        <f>SUM(AA145:AA148)</f>
        <v>729</v>
      </c>
      <c r="AB149" s="360"/>
      <c r="AC149" s="359">
        <f>SUM(AC145:AC148)</f>
        <v>791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 t="str">
        <f>AD151</f>
        <v>03.11.</v>
      </c>
      <c r="N151" s="376"/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Schlüssel!$AG$1</f>
        <v>03.11.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">
        <v>1786</v>
      </c>
      <c r="E152" s="84" t="str">
        <f>V152</f>
        <v>Regensburg Super Bowl</v>
      </c>
      <c r="F152" s="77"/>
      <c r="G152" s="77"/>
      <c r="H152" s="77"/>
      <c r="I152" s="77"/>
      <c r="J152" s="77"/>
      <c r="K152" s="77"/>
      <c r="L152" s="29" t="str">
        <f>AC152</f>
        <v>Spieltag:</v>
      </c>
      <c r="M152" s="86">
        <f>AD152</f>
        <v>2</v>
      </c>
      <c r="N152" s="28"/>
      <c r="R152" s="49"/>
      <c r="S152" s="50">
        <v>6</v>
      </c>
      <c r="U152" s="30" t="s">
        <v>1786</v>
      </c>
      <c r="V152" s="84" t="str">
        <f>Schlüssel!$W$2</f>
        <v>Regensburg Super Bowl</v>
      </c>
      <c r="X152" s="77"/>
      <c r="Y152" s="77"/>
      <c r="Z152" s="77"/>
      <c r="AA152" s="77"/>
      <c r="AB152" s="77"/>
      <c r="AC152" s="29" t="s">
        <v>1784</v>
      </c>
      <c r="AD152" s="34">
        <v>2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VLOOKUP(S152,Schlüssel!$A$5:$DZ$10,33)</f>
        <v>12</v>
      </c>
      <c r="W154" s="193" t="s">
        <v>10</v>
      </c>
      <c r="X154" s="191">
        <f>VLOOKUP(S152,Schlüssel!$A$5:$DZ$10,34)</f>
        <v>8</v>
      </c>
      <c r="Y154" s="193" t="s">
        <v>10</v>
      </c>
      <c r="Z154" s="191">
        <f>VLOOKUP(S152,Schlüssel!$A$5:$DZ$10,35)</f>
        <v>11</v>
      </c>
      <c r="AA154" s="193" t="s">
        <v>10</v>
      </c>
      <c r="AB154" s="191">
        <f>VLOOKUP(S152,Schlüssel!$A$5:$DZ$10,36)</f>
        <v>7</v>
      </c>
      <c r="AC154" s="193" t="s">
        <v>10</v>
      </c>
      <c r="AD154" s="192">
        <f>VLOOKUP(S152,Schlüssel!$A$5:$DZ$10,37)</f>
        <v>12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>Doßler, Thomas</v>
      </c>
      <c r="C157" s="18">
        <f>IF(T157=0,"",T157)</f>
        <v>7714</v>
      </c>
      <c r="D157" s="14">
        <f>IF(U157=0,"",U157)</f>
        <v>170</v>
      </c>
      <c r="E157" s="352">
        <f>IF(V157="","",V157)</f>
        <v>1</v>
      </c>
      <c r="F157" s="14">
        <f t="shared" ref="F157:F170" si="130">IF(W157=0,"",W157)</f>
        <v>181</v>
      </c>
      <c r="G157" s="352">
        <f>IF(X157="","",X157)</f>
        <v>1</v>
      </c>
      <c r="H157" s="14">
        <f t="shared" ref="H157:H170" si="131">IF(Y157=0,"",Y157)</f>
        <v>186</v>
      </c>
      <c r="I157" s="352">
        <f>IF(Z157="","",Z157)</f>
        <v>0</v>
      </c>
      <c r="J157" s="14">
        <f t="shared" ref="J157:J170" si="132">IF(AA157=0,"",AA157)</f>
        <v>200</v>
      </c>
      <c r="K157" s="352">
        <f>IF(AB157="","",AB157)</f>
        <v>1</v>
      </c>
      <c r="L157" s="14">
        <f t="shared" ref="L157:L170" si="133">IF(AC157=0,"",AC157)</f>
        <v>167</v>
      </c>
      <c r="M157" s="352">
        <f>IF(AD157="","",AD157)</f>
        <v>0</v>
      </c>
      <c r="N157" s="14">
        <f t="shared" ref="N157:N170" si="134">IF(AE157=0,"",AE157)</f>
        <v>904</v>
      </c>
      <c r="O157" s="352">
        <f>IF(AF157="","",AF157)</f>
        <v>3</v>
      </c>
      <c r="R157" s="355" t="s">
        <v>0</v>
      </c>
      <c r="S157" s="68" t="str">
        <f>IF(T157=0,"",VLOOKUP(T157,Starter!$A$1:$D$196,2,FALSE))</f>
        <v>Doßler, Thomas</v>
      </c>
      <c r="T157" s="175">
        <v>7714</v>
      </c>
      <c r="U157" s="183">
        <v>170</v>
      </c>
      <c r="V157" s="95">
        <f>IF(SUM(U157:U159)+U175=0,0,IF(ABS(SUM(U157:U159))=U175,0.5,IF(ABS(SUM(U157:U159))&gt;U175,1,0)))</f>
        <v>1</v>
      </c>
      <c r="W157" s="183">
        <v>181</v>
      </c>
      <c r="X157" s="95">
        <f>IF(SUM(W157:W159)+W175=0,0,IF(ABS(SUM(W157:W159))=W175,0.5,IF(ABS(SUM(W157:W159))&gt;W175,1,0)))</f>
        <v>1</v>
      </c>
      <c r="Y157" s="183">
        <v>186</v>
      </c>
      <c r="Z157" s="95">
        <f>IF(SUM(Y157:Y159)+Y175=0,0,IF(ABS(SUM(Y157:Y159))=Y175,0.5,IF(ABS(SUM(Y157:Y159))&gt;Y175,1,0)))</f>
        <v>0</v>
      </c>
      <c r="AA157" s="189">
        <v>200</v>
      </c>
      <c r="AB157" s="95">
        <f>IF(SUM(AA157:AA159)+AA175=0,0,IF(ABS(SUM(AA157:AA159))=AA175,0.5,IF(ABS(SUM(AA157:AA159))&gt;AA175,1,0)))</f>
        <v>1</v>
      </c>
      <c r="AC157" s="183">
        <v>167</v>
      </c>
      <c r="AD157" s="95">
        <f>IF(SUM(AC157:AC159)+AC175=0,0,IF(ABS(SUM(AC157:AC159))=AC175,0.5,IF(ABS(SUM(AC157:AC159))&gt;AC175,1,0)))</f>
        <v>0</v>
      </c>
      <c r="AE157" s="195">
        <f t="shared" ref="AE157:AE168" si="135">ABS(SUM(U157:U157))+ABS(SUM(W157:W157))+ABS(SUM(Y157:Y157))+ABS(SUM(AA157:AA157))+ABS(SUM(AC157:AC157))</f>
        <v>904</v>
      </c>
      <c r="AF157" s="180">
        <f>SUM(V157+X157+Z157+AB157+AD157)</f>
        <v>3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36">T157</f>
        <v>7714</v>
      </c>
      <c r="BE157" s="213">
        <f t="shared" ref="BE157:BE168" si="137">AE157</f>
        <v>904</v>
      </c>
      <c r="BF157" s="215">
        <f t="shared" ref="BF157:BF168" si="138">COUNT(BH157:BL157)</f>
        <v>5</v>
      </c>
      <c r="BG157" s="215">
        <f t="shared" ref="BG157:BG168" si="139">COUNTIF(BH157:BL157,"&gt;0")</f>
        <v>5</v>
      </c>
      <c r="BH157" s="215">
        <f t="shared" ref="BH157:BH168" si="140">IF(U157=0,"",U157)</f>
        <v>170</v>
      </c>
      <c r="BI157" s="215">
        <f t="shared" ref="BI157:BI168" si="141">IF(W157=0,"",W157)</f>
        <v>181</v>
      </c>
      <c r="BJ157" s="215">
        <f t="shared" ref="BJ157:BJ168" si="142">IF(Y157=0,"",Y157)</f>
        <v>186</v>
      </c>
      <c r="BK157" s="215">
        <f t="shared" ref="BK157:BK168" si="143">IF(AA157=0,"",AA157)</f>
        <v>200</v>
      </c>
      <c r="BL157" s="215">
        <f t="shared" ref="BL157:BL168" si="144">IF(AC157=0,"",AC157)</f>
        <v>167</v>
      </c>
      <c r="BM157" s="216"/>
      <c r="BN157" s="214"/>
      <c r="BO157" s="215">
        <f t="shared" ref="BO157:BO168" si="145">MAX(BH157:BL157)</f>
        <v>200</v>
      </c>
      <c r="BP157" s="215">
        <f t="shared" ref="BP157:BP168" si="146">IF(BO157&lt;MAX(BO:BO),0,BO157+ROW()/1000000000)</f>
        <v>0</v>
      </c>
      <c r="BQ157" s="215" t="str">
        <f>+S153</f>
        <v>Adler Nürnberg 1</v>
      </c>
      <c r="BR157" s="214">
        <f t="shared" ref="BR157:BR168" si="147">RANK(BP157,BP:BP)</f>
        <v>2</v>
      </c>
      <c r="BS157" s="215">
        <f t="shared" ref="BS157:BS168" si="148">SUMIF(BH157:BL157,"&gt;0")</f>
        <v>904</v>
      </c>
      <c r="BT157" s="215">
        <f>IF(COUNTIF(BH157:BL157,"&gt;0")&lt;Spielorte!$A$23,0,BE157/Spielorte!$A$23)</f>
        <v>180.8</v>
      </c>
      <c r="BU157" s="215">
        <f t="shared" ref="BU157:BU168" si="149">IF(BT157&lt;MAX(BT:BT),0,BT157+ROW()/1000000000)</f>
        <v>0</v>
      </c>
      <c r="BV157" s="214">
        <f t="shared" ref="BV157:BV168" si="150">IF(BU157=0,0,RANK(BU157,BU:BU))</f>
        <v>0</v>
      </c>
    </row>
    <row r="158" spans="1:74" ht="17.100000000000001" customHeight="1" x14ac:dyDescent="0.2">
      <c r="A158" s="374"/>
      <c r="B158" s="19" t="str">
        <f t="shared" ref="B158:D170" si="151">IF(S158=0,"",S158)</f>
        <v/>
      </c>
      <c r="C158" s="20" t="str">
        <f t="shared" si="151"/>
        <v/>
      </c>
      <c r="D158" s="15" t="str">
        <f t="shared" si="151"/>
        <v/>
      </c>
      <c r="E158" s="353"/>
      <c r="F158" s="15" t="str">
        <f t="shared" si="130"/>
        <v/>
      </c>
      <c r="G158" s="353"/>
      <c r="H158" s="15" t="str">
        <f t="shared" si="131"/>
        <v/>
      </c>
      <c r="I158" s="353"/>
      <c r="J158" s="15" t="str">
        <f t="shared" si="132"/>
        <v/>
      </c>
      <c r="K158" s="353"/>
      <c r="L158" s="15" t="str">
        <f t="shared" si="133"/>
        <v/>
      </c>
      <c r="M158" s="353"/>
      <c r="N158" s="15" t="str">
        <f t="shared" si="134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35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36"/>
        <v>0</v>
      </c>
      <c r="BE158" s="213">
        <f t="shared" si="137"/>
        <v>0</v>
      </c>
      <c r="BF158" s="215">
        <f t="shared" si="138"/>
        <v>0</v>
      </c>
      <c r="BG158" s="215">
        <f t="shared" si="139"/>
        <v>0</v>
      </c>
      <c r="BH158" s="215" t="str">
        <f t="shared" si="140"/>
        <v/>
      </c>
      <c r="BI158" s="215" t="str">
        <f t="shared" si="141"/>
        <v/>
      </c>
      <c r="BJ158" s="215" t="str">
        <f t="shared" si="142"/>
        <v/>
      </c>
      <c r="BK158" s="215" t="str">
        <f t="shared" si="143"/>
        <v/>
      </c>
      <c r="BL158" s="215" t="str">
        <f t="shared" si="144"/>
        <v/>
      </c>
      <c r="BM158" s="216"/>
      <c r="BN158" s="214"/>
      <c r="BO158" s="215">
        <f t="shared" si="145"/>
        <v>0</v>
      </c>
      <c r="BP158" s="215">
        <f t="shared" si="146"/>
        <v>0</v>
      </c>
      <c r="BQ158" s="215" t="str">
        <f t="shared" ref="BQ158:BQ168" si="152">+BQ157</f>
        <v>Adler Nürnberg 1</v>
      </c>
      <c r="BR158" s="214">
        <f t="shared" si="147"/>
        <v>2</v>
      </c>
      <c r="BS158" s="215">
        <f t="shared" si="148"/>
        <v>0</v>
      </c>
      <c r="BT158" s="215">
        <f>IF(COUNTIF(BH158:BL158,"&gt;0")&lt;Spielorte!$A$23,0,BE158/Spielorte!$A$23)</f>
        <v>0</v>
      </c>
      <c r="BU158" s="215">
        <f t="shared" si="149"/>
        <v>0</v>
      </c>
      <c r="BV158" s="214">
        <f t="shared" si="150"/>
        <v>0</v>
      </c>
    </row>
    <row r="159" spans="1:74" ht="17.100000000000001" customHeight="1" thickBot="1" x14ac:dyDescent="0.25">
      <c r="A159" s="375"/>
      <c r="B159" s="21" t="str">
        <f t="shared" si="151"/>
        <v/>
      </c>
      <c r="C159" s="22" t="str">
        <f t="shared" si="151"/>
        <v/>
      </c>
      <c r="D159" s="9" t="str">
        <f t="shared" si="151"/>
        <v/>
      </c>
      <c r="E159" s="354"/>
      <c r="F159" s="9" t="str">
        <f t="shared" si="130"/>
        <v/>
      </c>
      <c r="G159" s="354"/>
      <c r="H159" s="9" t="str">
        <f t="shared" si="131"/>
        <v/>
      </c>
      <c r="I159" s="354"/>
      <c r="J159" s="9" t="str">
        <f t="shared" si="132"/>
        <v/>
      </c>
      <c r="K159" s="354"/>
      <c r="L159" s="9" t="str">
        <f t="shared" si="133"/>
        <v/>
      </c>
      <c r="M159" s="354"/>
      <c r="N159" s="9" t="str">
        <f t="shared" si="134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35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36"/>
        <v>0</v>
      </c>
      <c r="BE159" s="213">
        <f t="shared" si="137"/>
        <v>0</v>
      </c>
      <c r="BF159" s="215">
        <f t="shared" si="138"/>
        <v>0</v>
      </c>
      <c r="BG159" s="215">
        <f t="shared" si="139"/>
        <v>0</v>
      </c>
      <c r="BH159" s="215" t="str">
        <f t="shared" si="140"/>
        <v/>
      </c>
      <c r="BI159" s="215" t="str">
        <f t="shared" si="141"/>
        <v/>
      </c>
      <c r="BJ159" s="215" t="str">
        <f t="shared" si="142"/>
        <v/>
      </c>
      <c r="BK159" s="215" t="str">
        <f t="shared" si="143"/>
        <v/>
      </c>
      <c r="BL159" s="215" t="str">
        <f t="shared" si="144"/>
        <v/>
      </c>
      <c r="BM159" s="216"/>
      <c r="BN159" s="214"/>
      <c r="BO159" s="215">
        <f t="shared" si="145"/>
        <v>0</v>
      </c>
      <c r="BP159" s="215">
        <f t="shared" si="146"/>
        <v>0</v>
      </c>
      <c r="BQ159" s="215" t="str">
        <f t="shared" si="152"/>
        <v>Adler Nürnberg 1</v>
      </c>
      <c r="BR159" s="214">
        <f t="shared" si="147"/>
        <v>2</v>
      </c>
      <c r="BS159" s="215">
        <f t="shared" si="148"/>
        <v>0</v>
      </c>
      <c r="BT159" s="215">
        <f>IF(COUNTIF(BH159:BL159,"&gt;0")&lt;Spielorte!$A$23,0,BE159/Spielorte!$A$23)</f>
        <v>0</v>
      </c>
      <c r="BU159" s="215">
        <f t="shared" si="149"/>
        <v>0</v>
      </c>
      <c r="BV159" s="214">
        <f t="shared" si="150"/>
        <v>0</v>
      </c>
    </row>
    <row r="160" spans="1:74" ht="17.100000000000001" customHeight="1" x14ac:dyDescent="0.2">
      <c r="A160" s="373" t="s">
        <v>2</v>
      </c>
      <c r="B160" s="17" t="str">
        <f t="shared" si="151"/>
        <v>Kohl, Oswald</v>
      </c>
      <c r="C160" s="18">
        <f t="shared" si="151"/>
        <v>25944</v>
      </c>
      <c r="D160" s="14">
        <f t="shared" si="151"/>
        <v>158</v>
      </c>
      <c r="E160" s="352">
        <f>IF(V160="","",V160)</f>
        <v>1</v>
      </c>
      <c r="F160" s="14">
        <f t="shared" si="130"/>
        <v>160</v>
      </c>
      <c r="G160" s="352">
        <f>IF(X160="","",X160)</f>
        <v>1</v>
      </c>
      <c r="H160" s="14">
        <f t="shared" si="131"/>
        <v>135</v>
      </c>
      <c r="I160" s="352">
        <f>IF(Z160="","",Z160)</f>
        <v>0</v>
      </c>
      <c r="J160" s="14" t="str">
        <f t="shared" si="132"/>
        <v/>
      </c>
      <c r="K160" s="352">
        <f>IF(AB160="","",AB160)</f>
        <v>0</v>
      </c>
      <c r="L160" s="14" t="str">
        <f t="shared" si="133"/>
        <v/>
      </c>
      <c r="M160" s="352">
        <f>IF(AD160="","",AD160)</f>
        <v>0</v>
      </c>
      <c r="N160" s="14">
        <f t="shared" si="134"/>
        <v>453</v>
      </c>
      <c r="O160" s="352">
        <f>IF(AF160="","",AF160)</f>
        <v>2</v>
      </c>
      <c r="R160" s="355" t="s">
        <v>2</v>
      </c>
      <c r="S160" s="68" t="str">
        <f>IF(T160=0,"",VLOOKUP(T160,Starter!$A$1:$D$196,2,FALSE))</f>
        <v>Kohl, Oswald</v>
      </c>
      <c r="T160" s="178">
        <v>25944</v>
      </c>
      <c r="U160" s="186">
        <v>158</v>
      </c>
      <c r="V160" s="95">
        <f>IF(SUM(U160:U162)+U176=0,0,IF(ABS(SUM(U160:U162))=U176,0.5,IF(ABS(SUM(U160:U162))&gt;U176,1,0)))</f>
        <v>1</v>
      </c>
      <c r="W160" s="186">
        <v>160</v>
      </c>
      <c r="X160" s="95">
        <f>IF(SUM(W160:W162)+W176=0,0,IF(ABS(SUM(W160:W162))=W176,0.5,IF(ABS(SUM(W160:W162))&gt;W176,1,0)))</f>
        <v>1</v>
      </c>
      <c r="Y160" s="186">
        <v>135</v>
      </c>
      <c r="Z160" s="95">
        <f>IF(SUM(Y160:Y162)+Y176=0,0,IF(ABS(SUM(Y160:Y162))=Y176,0.5,IF(ABS(SUM(Y160:Y162))&gt;Y176,1,0)))</f>
        <v>0</v>
      </c>
      <c r="AA160" s="186"/>
      <c r="AB160" s="95">
        <f>IF(SUM(AA160:AA162)+AA176=0,0,IF(ABS(SUM(AA160:AA162))=AA176,0.5,IF(ABS(SUM(AA160:AA162))&gt;AA176,1,0)))</f>
        <v>0</v>
      </c>
      <c r="AC160" s="186"/>
      <c r="AD160" s="95">
        <f>IF(SUM(AC160:AC162)+AC176=0,0,IF(ABS(SUM(AC160:AC162))=AC176,0.5,IF(ABS(SUM(AC160:AC162))&gt;AC176,1,0)))</f>
        <v>0</v>
      </c>
      <c r="AE160" s="195">
        <f t="shared" si="135"/>
        <v>453</v>
      </c>
      <c r="AF160" s="180">
        <f>SUM(V160+X160+Z160+AB160+AD160)</f>
        <v>2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36"/>
        <v>25944</v>
      </c>
      <c r="BE160" s="213">
        <f t="shared" si="137"/>
        <v>453</v>
      </c>
      <c r="BF160" s="215">
        <f t="shared" si="138"/>
        <v>3</v>
      </c>
      <c r="BG160" s="215">
        <f t="shared" si="139"/>
        <v>3</v>
      </c>
      <c r="BH160" s="215">
        <f t="shared" si="140"/>
        <v>158</v>
      </c>
      <c r="BI160" s="215">
        <f t="shared" si="141"/>
        <v>160</v>
      </c>
      <c r="BJ160" s="215">
        <f t="shared" si="142"/>
        <v>135</v>
      </c>
      <c r="BK160" s="215" t="str">
        <f t="shared" si="143"/>
        <v/>
      </c>
      <c r="BL160" s="215" t="str">
        <f t="shared" si="144"/>
        <v/>
      </c>
      <c r="BM160" s="216"/>
      <c r="BN160" s="214"/>
      <c r="BO160" s="215">
        <f t="shared" si="145"/>
        <v>160</v>
      </c>
      <c r="BP160" s="215">
        <f t="shared" si="146"/>
        <v>0</v>
      </c>
      <c r="BQ160" s="215" t="str">
        <f t="shared" si="152"/>
        <v>Adler Nürnberg 1</v>
      </c>
      <c r="BR160" s="214">
        <f t="shared" si="147"/>
        <v>2</v>
      </c>
      <c r="BS160" s="215">
        <f t="shared" si="148"/>
        <v>453</v>
      </c>
      <c r="BT160" s="215">
        <f>IF(COUNTIF(BH160:BL160,"&gt;0")&lt;Spielorte!$A$23,0,BE160/Spielorte!$A$23)</f>
        <v>0</v>
      </c>
      <c r="BU160" s="215">
        <f t="shared" si="149"/>
        <v>0</v>
      </c>
      <c r="BV160" s="214">
        <f t="shared" si="150"/>
        <v>0</v>
      </c>
    </row>
    <row r="161" spans="1:74" ht="17.100000000000001" customHeight="1" x14ac:dyDescent="0.2">
      <c r="A161" s="374"/>
      <c r="B161" s="19" t="str">
        <f t="shared" si="151"/>
        <v>Schmitt, Peter</v>
      </c>
      <c r="C161" s="20">
        <f t="shared" si="151"/>
        <v>7761</v>
      </c>
      <c r="D161" s="15" t="str">
        <f t="shared" si="151"/>
        <v/>
      </c>
      <c r="E161" s="353"/>
      <c r="F161" s="15" t="str">
        <f t="shared" si="130"/>
        <v/>
      </c>
      <c r="G161" s="353"/>
      <c r="H161" s="15" t="str">
        <f t="shared" si="131"/>
        <v/>
      </c>
      <c r="I161" s="353"/>
      <c r="J161" s="15">
        <f t="shared" si="132"/>
        <v>150</v>
      </c>
      <c r="K161" s="353"/>
      <c r="L161" s="15">
        <f t="shared" si="133"/>
        <v>124</v>
      </c>
      <c r="M161" s="353"/>
      <c r="N161" s="15">
        <f t="shared" si="134"/>
        <v>274</v>
      </c>
      <c r="O161" s="353"/>
      <c r="R161" s="356"/>
      <c r="S161" s="68" t="str">
        <f>IF(T161=0,"",VLOOKUP(T161,Starter!$A$1:$D$196,2,FALSE))</f>
        <v>Schmitt, Peter</v>
      </c>
      <c r="T161" s="176">
        <v>7761</v>
      </c>
      <c r="U161" s="184"/>
      <c r="V161" s="96"/>
      <c r="W161" s="184"/>
      <c r="X161" s="96"/>
      <c r="Y161" s="184"/>
      <c r="Z161" s="96"/>
      <c r="AA161" s="184">
        <v>150</v>
      </c>
      <c r="AB161" s="96"/>
      <c r="AC161" s="184">
        <v>124</v>
      </c>
      <c r="AD161" s="96"/>
      <c r="AE161" s="196">
        <f t="shared" si="135"/>
        <v>274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36"/>
        <v>7761</v>
      </c>
      <c r="BE161" s="213">
        <f t="shared" si="137"/>
        <v>274</v>
      </c>
      <c r="BF161" s="215">
        <f t="shared" si="138"/>
        <v>2</v>
      </c>
      <c r="BG161" s="215">
        <f t="shared" si="139"/>
        <v>2</v>
      </c>
      <c r="BH161" s="215" t="str">
        <f t="shared" si="140"/>
        <v/>
      </c>
      <c r="BI161" s="215" t="str">
        <f t="shared" si="141"/>
        <v/>
      </c>
      <c r="BJ161" s="215" t="str">
        <f t="shared" si="142"/>
        <v/>
      </c>
      <c r="BK161" s="215">
        <f t="shared" si="143"/>
        <v>150</v>
      </c>
      <c r="BL161" s="215">
        <f t="shared" si="144"/>
        <v>124</v>
      </c>
      <c r="BM161" s="216"/>
      <c r="BN161" s="214"/>
      <c r="BO161" s="215">
        <f t="shared" si="145"/>
        <v>150</v>
      </c>
      <c r="BP161" s="215">
        <f t="shared" si="146"/>
        <v>0</v>
      </c>
      <c r="BQ161" s="215" t="str">
        <f t="shared" si="152"/>
        <v>Adler Nürnberg 1</v>
      </c>
      <c r="BR161" s="214">
        <f t="shared" si="147"/>
        <v>2</v>
      </c>
      <c r="BS161" s="215">
        <f t="shared" si="148"/>
        <v>274</v>
      </c>
      <c r="BT161" s="215">
        <f>IF(COUNTIF(BH161:BL161,"&gt;0")&lt;Spielorte!$A$23,0,BE161/Spielorte!$A$23)</f>
        <v>0</v>
      </c>
      <c r="BU161" s="215">
        <f t="shared" si="149"/>
        <v>0</v>
      </c>
      <c r="BV161" s="214">
        <f t="shared" si="150"/>
        <v>0</v>
      </c>
    </row>
    <row r="162" spans="1:74" ht="17.100000000000001" customHeight="1" thickBot="1" x14ac:dyDescent="0.25">
      <c r="A162" s="375"/>
      <c r="B162" s="21" t="str">
        <f t="shared" si="151"/>
        <v/>
      </c>
      <c r="C162" s="22" t="str">
        <f t="shared" si="151"/>
        <v/>
      </c>
      <c r="D162" s="9" t="str">
        <f t="shared" si="151"/>
        <v/>
      </c>
      <c r="E162" s="354"/>
      <c r="F162" s="9" t="str">
        <f t="shared" si="130"/>
        <v/>
      </c>
      <c r="G162" s="354"/>
      <c r="H162" s="9" t="str">
        <f t="shared" si="131"/>
        <v/>
      </c>
      <c r="I162" s="354"/>
      <c r="J162" s="9" t="str">
        <f t="shared" si="132"/>
        <v/>
      </c>
      <c r="K162" s="354"/>
      <c r="L162" s="9" t="str">
        <f t="shared" si="133"/>
        <v/>
      </c>
      <c r="M162" s="354"/>
      <c r="N162" s="9" t="str">
        <f t="shared" si="134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35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36"/>
        <v>0</v>
      </c>
      <c r="BE162" s="213">
        <f t="shared" si="137"/>
        <v>0</v>
      </c>
      <c r="BF162" s="215">
        <f t="shared" si="138"/>
        <v>0</v>
      </c>
      <c r="BG162" s="215">
        <f t="shared" si="139"/>
        <v>0</v>
      </c>
      <c r="BH162" s="215" t="str">
        <f t="shared" si="140"/>
        <v/>
      </c>
      <c r="BI162" s="215" t="str">
        <f t="shared" si="141"/>
        <v/>
      </c>
      <c r="BJ162" s="215" t="str">
        <f t="shared" si="142"/>
        <v/>
      </c>
      <c r="BK162" s="215" t="str">
        <f t="shared" si="143"/>
        <v/>
      </c>
      <c r="BL162" s="215" t="str">
        <f t="shared" si="144"/>
        <v/>
      </c>
      <c r="BM162" s="216"/>
      <c r="BN162" s="214"/>
      <c r="BO162" s="215">
        <f t="shared" si="145"/>
        <v>0</v>
      </c>
      <c r="BP162" s="215">
        <f t="shared" si="146"/>
        <v>0</v>
      </c>
      <c r="BQ162" s="215" t="str">
        <f t="shared" si="152"/>
        <v>Adler Nürnberg 1</v>
      </c>
      <c r="BR162" s="214">
        <f t="shared" si="147"/>
        <v>2</v>
      </c>
      <c r="BS162" s="215">
        <f t="shared" si="148"/>
        <v>0</v>
      </c>
      <c r="BT162" s="215">
        <f>IF(COUNTIF(BH162:BL162,"&gt;0")&lt;Spielorte!$A$23,0,BE162/Spielorte!$A$23)</f>
        <v>0</v>
      </c>
      <c r="BU162" s="215">
        <f t="shared" si="149"/>
        <v>0</v>
      </c>
      <c r="BV162" s="214">
        <f t="shared" si="150"/>
        <v>0</v>
      </c>
    </row>
    <row r="163" spans="1:74" ht="17.100000000000001" customHeight="1" x14ac:dyDescent="0.2">
      <c r="A163" s="373" t="s">
        <v>3</v>
      </c>
      <c r="B163" s="17" t="str">
        <f t="shared" si="151"/>
        <v>Schmelzl, Werner</v>
      </c>
      <c r="C163" s="18">
        <f t="shared" si="151"/>
        <v>25811</v>
      </c>
      <c r="D163" s="14">
        <f t="shared" si="151"/>
        <v>171</v>
      </c>
      <c r="E163" s="352">
        <f>IF(V163="","",V163)</f>
        <v>1</v>
      </c>
      <c r="F163" s="14">
        <f t="shared" si="130"/>
        <v>148</v>
      </c>
      <c r="G163" s="352">
        <f>IF(X163="","",X163)</f>
        <v>0</v>
      </c>
      <c r="H163" s="14">
        <f t="shared" si="131"/>
        <v>158</v>
      </c>
      <c r="I163" s="352">
        <f>IF(Z163="","",Z163)</f>
        <v>0</v>
      </c>
      <c r="J163" s="14">
        <f t="shared" si="132"/>
        <v>188</v>
      </c>
      <c r="K163" s="352">
        <f>IF(AB163="","",AB163)</f>
        <v>1</v>
      </c>
      <c r="L163" s="14">
        <f t="shared" si="133"/>
        <v>142</v>
      </c>
      <c r="M163" s="352">
        <f>IF(AD163="","",AD163)</f>
        <v>0</v>
      </c>
      <c r="N163" s="14">
        <f t="shared" si="134"/>
        <v>807</v>
      </c>
      <c r="O163" s="352">
        <f>IF(AF163="","",AF163)</f>
        <v>2</v>
      </c>
      <c r="R163" s="355" t="s">
        <v>3</v>
      </c>
      <c r="S163" s="68" t="str">
        <f>IF(T163=0,"",VLOOKUP(T163,Starter!$A$1:$D$196,2,FALSE))</f>
        <v>Schmelzl, Werner</v>
      </c>
      <c r="T163" s="178">
        <v>25811</v>
      </c>
      <c r="U163" s="186">
        <v>171</v>
      </c>
      <c r="V163" s="95">
        <f>IF(SUM(U163:U165)+U177=0,0,IF(ABS(SUM(U163:U165))=U177,0.5,IF(ABS(SUM(U163:U165))&gt;U177,1,0)))</f>
        <v>1</v>
      </c>
      <c r="W163" s="186">
        <v>148</v>
      </c>
      <c r="X163" s="95">
        <f>IF(SUM(W163:W165)+W177=0,0,IF(ABS(SUM(W163:W165))=W177,0.5,IF(ABS(SUM(W163:W165))&gt;W177,1,0)))</f>
        <v>0</v>
      </c>
      <c r="Y163" s="186">
        <v>158</v>
      </c>
      <c r="Z163" s="95">
        <f>IF(SUM(Y163:Y165)+Y177=0,0,IF(ABS(SUM(Y163:Y165))=Y177,0.5,IF(ABS(SUM(Y163:Y165))&gt;Y177,1,0)))</f>
        <v>0</v>
      </c>
      <c r="AA163" s="186">
        <v>188</v>
      </c>
      <c r="AB163" s="95">
        <f>IF(SUM(AA163:AA165)+AA177=0,0,IF(ABS(SUM(AA163:AA165))=AA177,0.5,IF(ABS(SUM(AA163:AA165))&gt;AA177,1,0)))</f>
        <v>1</v>
      </c>
      <c r="AC163" s="186">
        <v>142</v>
      </c>
      <c r="AD163" s="95">
        <f>IF(SUM(AC163:AC165)+AC177=0,0,IF(ABS(SUM(AC163:AC165))=AC177,0.5,IF(ABS(SUM(AC163:AC165))&gt;AC177,1,0)))</f>
        <v>0</v>
      </c>
      <c r="AE163" s="195">
        <f t="shared" si="135"/>
        <v>807</v>
      </c>
      <c r="AF163" s="180">
        <f>SUM(V163+X163+Z163+AB163+AD163)</f>
        <v>2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36"/>
        <v>25811</v>
      </c>
      <c r="BE163" s="213">
        <f t="shared" si="137"/>
        <v>807</v>
      </c>
      <c r="BF163" s="215">
        <f t="shared" si="138"/>
        <v>5</v>
      </c>
      <c r="BG163" s="215">
        <f t="shared" si="139"/>
        <v>5</v>
      </c>
      <c r="BH163" s="215">
        <f t="shared" si="140"/>
        <v>171</v>
      </c>
      <c r="BI163" s="215">
        <f t="shared" si="141"/>
        <v>148</v>
      </c>
      <c r="BJ163" s="215">
        <f t="shared" si="142"/>
        <v>158</v>
      </c>
      <c r="BK163" s="215">
        <f t="shared" si="143"/>
        <v>188</v>
      </c>
      <c r="BL163" s="215">
        <f t="shared" si="144"/>
        <v>142</v>
      </c>
      <c r="BM163" s="216"/>
      <c r="BN163" s="214"/>
      <c r="BO163" s="215">
        <f t="shared" si="145"/>
        <v>188</v>
      </c>
      <c r="BP163" s="215">
        <f t="shared" si="146"/>
        <v>0</v>
      </c>
      <c r="BQ163" s="215" t="str">
        <f t="shared" si="152"/>
        <v>Adler Nürnberg 1</v>
      </c>
      <c r="BR163" s="214">
        <f t="shared" si="147"/>
        <v>2</v>
      </c>
      <c r="BS163" s="215">
        <f t="shared" si="148"/>
        <v>807</v>
      </c>
      <c r="BT163" s="215">
        <f>IF(COUNTIF(BH163:BL163,"&gt;0")&lt;Spielorte!$A$23,0,BE163/Spielorte!$A$23)</f>
        <v>161.4</v>
      </c>
      <c r="BU163" s="215">
        <f t="shared" si="149"/>
        <v>0</v>
      </c>
      <c r="BV163" s="214">
        <f t="shared" si="150"/>
        <v>0</v>
      </c>
    </row>
    <row r="164" spans="1:74" ht="17.100000000000001" customHeight="1" x14ac:dyDescent="0.2">
      <c r="A164" s="374"/>
      <c r="B164" s="19" t="str">
        <f t="shared" si="151"/>
        <v/>
      </c>
      <c r="C164" s="20" t="str">
        <f t="shared" si="151"/>
        <v/>
      </c>
      <c r="D164" s="15" t="str">
        <f t="shared" si="151"/>
        <v/>
      </c>
      <c r="E164" s="353"/>
      <c r="F164" s="15" t="str">
        <f t="shared" si="130"/>
        <v/>
      </c>
      <c r="G164" s="353"/>
      <c r="H164" s="15" t="str">
        <f t="shared" si="131"/>
        <v/>
      </c>
      <c r="I164" s="353"/>
      <c r="J164" s="15" t="str">
        <f t="shared" si="132"/>
        <v/>
      </c>
      <c r="K164" s="353"/>
      <c r="L164" s="15" t="str">
        <f t="shared" si="133"/>
        <v/>
      </c>
      <c r="M164" s="353"/>
      <c r="N164" s="15" t="str">
        <f t="shared" si="134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35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36"/>
        <v>0</v>
      </c>
      <c r="BE164" s="213">
        <f t="shared" si="137"/>
        <v>0</v>
      </c>
      <c r="BF164" s="215">
        <f t="shared" si="138"/>
        <v>0</v>
      </c>
      <c r="BG164" s="215">
        <f t="shared" si="139"/>
        <v>0</v>
      </c>
      <c r="BH164" s="215" t="str">
        <f t="shared" si="140"/>
        <v/>
      </c>
      <c r="BI164" s="215" t="str">
        <f t="shared" si="141"/>
        <v/>
      </c>
      <c r="BJ164" s="215" t="str">
        <f t="shared" si="142"/>
        <v/>
      </c>
      <c r="BK164" s="215" t="str">
        <f t="shared" si="143"/>
        <v/>
      </c>
      <c r="BL164" s="215" t="str">
        <f t="shared" si="144"/>
        <v/>
      </c>
      <c r="BM164" s="216"/>
      <c r="BN164" s="214"/>
      <c r="BO164" s="215">
        <f t="shared" si="145"/>
        <v>0</v>
      </c>
      <c r="BP164" s="215">
        <f t="shared" si="146"/>
        <v>0</v>
      </c>
      <c r="BQ164" s="215" t="str">
        <f t="shared" si="152"/>
        <v>Adler Nürnberg 1</v>
      </c>
      <c r="BR164" s="214">
        <f t="shared" si="147"/>
        <v>2</v>
      </c>
      <c r="BS164" s="215">
        <f t="shared" si="148"/>
        <v>0</v>
      </c>
      <c r="BT164" s="215">
        <f>IF(COUNTIF(BH164:BL164,"&gt;0")&lt;Spielorte!$A$23,0,BE164/Spielorte!$A$23)</f>
        <v>0</v>
      </c>
      <c r="BU164" s="215">
        <f t="shared" si="149"/>
        <v>0</v>
      </c>
      <c r="BV164" s="214">
        <f t="shared" si="150"/>
        <v>0</v>
      </c>
    </row>
    <row r="165" spans="1:74" ht="17.100000000000001" customHeight="1" thickBot="1" x14ac:dyDescent="0.25">
      <c r="A165" s="375"/>
      <c r="B165" s="21" t="str">
        <f t="shared" si="151"/>
        <v/>
      </c>
      <c r="C165" s="22" t="str">
        <f t="shared" si="151"/>
        <v/>
      </c>
      <c r="D165" s="9" t="str">
        <f t="shared" si="151"/>
        <v/>
      </c>
      <c r="E165" s="354"/>
      <c r="F165" s="9" t="str">
        <f t="shared" si="130"/>
        <v/>
      </c>
      <c r="G165" s="354"/>
      <c r="H165" s="9" t="str">
        <f t="shared" si="131"/>
        <v/>
      </c>
      <c r="I165" s="354"/>
      <c r="J165" s="9" t="str">
        <f t="shared" si="132"/>
        <v/>
      </c>
      <c r="K165" s="354"/>
      <c r="L165" s="9" t="str">
        <f t="shared" si="133"/>
        <v/>
      </c>
      <c r="M165" s="354"/>
      <c r="N165" s="9" t="str">
        <f t="shared" si="134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35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36"/>
        <v>0</v>
      </c>
      <c r="BE165" s="213">
        <f t="shared" si="137"/>
        <v>0</v>
      </c>
      <c r="BF165" s="215">
        <f t="shared" si="138"/>
        <v>0</v>
      </c>
      <c r="BG165" s="215">
        <f t="shared" si="139"/>
        <v>0</v>
      </c>
      <c r="BH165" s="215" t="str">
        <f t="shared" si="140"/>
        <v/>
      </c>
      <c r="BI165" s="215" t="str">
        <f t="shared" si="141"/>
        <v/>
      </c>
      <c r="BJ165" s="215" t="str">
        <f t="shared" si="142"/>
        <v/>
      </c>
      <c r="BK165" s="215" t="str">
        <f t="shared" si="143"/>
        <v/>
      </c>
      <c r="BL165" s="215" t="str">
        <f t="shared" si="144"/>
        <v/>
      </c>
      <c r="BM165" s="216"/>
      <c r="BN165" s="214"/>
      <c r="BO165" s="215">
        <f t="shared" si="145"/>
        <v>0</v>
      </c>
      <c r="BP165" s="215">
        <f t="shared" si="146"/>
        <v>0</v>
      </c>
      <c r="BQ165" s="215" t="str">
        <f t="shared" si="152"/>
        <v>Adler Nürnberg 1</v>
      </c>
      <c r="BR165" s="214">
        <f t="shared" si="147"/>
        <v>2</v>
      </c>
      <c r="BS165" s="215">
        <f t="shared" si="148"/>
        <v>0</v>
      </c>
      <c r="BT165" s="215">
        <f>IF(COUNTIF(BH165:BL165,"&gt;0")&lt;Spielorte!$A$23,0,BE165/Spielorte!$A$23)</f>
        <v>0</v>
      </c>
      <c r="BU165" s="215">
        <f t="shared" si="149"/>
        <v>0</v>
      </c>
      <c r="BV165" s="214">
        <f t="shared" si="150"/>
        <v>0</v>
      </c>
    </row>
    <row r="166" spans="1:74" ht="17.100000000000001" customHeight="1" x14ac:dyDescent="0.2">
      <c r="A166" s="373" t="s">
        <v>11</v>
      </c>
      <c r="B166" s="17" t="str">
        <f>IF(S166=0,"",S166)</f>
        <v>Beier, Thomas</v>
      </c>
      <c r="C166" s="18">
        <f t="shared" si="151"/>
        <v>16707</v>
      </c>
      <c r="D166" s="14">
        <f t="shared" si="151"/>
        <v>180</v>
      </c>
      <c r="E166" s="352">
        <f>IF(V166="","",V166)</f>
        <v>0</v>
      </c>
      <c r="F166" s="14">
        <f t="shared" si="130"/>
        <v>181</v>
      </c>
      <c r="G166" s="352">
        <f>IF(X166="","",X166)</f>
        <v>0</v>
      </c>
      <c r="H166" s="14">
        <f t="shared" si="131"/>
        <v>171</v>
      </c>
      <c r="I166" s="352">
        <f>IF(Z166="","",Z166)</f>
        <v>1</v>
      </c>
      <c r="J166" s="14">
        <f t="shared" si="132"/>
        <v>209</v>
      </c>
      <c r="K166" s="352">
        <f>IF(AB166="","",AB166)</f>
        <v>1</v>
      </c>
      <c r="L166" s="14">
        <f t="shared" si="133"/>
        <v>163</v>
      </c>
      <c r="M166" s="352">
        <f>IF(AD166="","",AD166)</f>
        <v>0</v>
      </c>
      <c r="N166" s="14">
        <f t="shared" si="134"/>
        <v>904</v>
      </c>
      <c r="O166" s="352">
        <f>IF(AF166="","",AF166)</f>
        <v>2</v>
      </c>
      <c r="R166" s="355" t="s">
        <v>11</v>
      </c>
      <c r="S166" s="68" t="str">
        <f>IF(T166=0,"",VLOOKUP(T166,Starter!$A$1:$D$196,2,FALSE))</f>
        <v>Beier, Thomas</v>
      </c>
      <c r="T166" s="178">
        <v>16707</v>
      </c>
      <c r="U166" s="186">
        <v>180</v>
      </c>
      <c r="V166" s="95">
        <f>IF(SUM(U166:U168)+U178=0,0,IF(ABS(SUM(U166:U168))=U178,0.5,IF(ABS(SUM(U166:U168))&gt;U178,1,0)))</f>
        <v>0</v>
      </c>
      <c r="W166" s="186">
        <v>181</v>
      </c>
      <c r="X166" s="95">
        <f>IF(SUM(W166:W168)+W178=0,0,IF(ABS(SUM(W166:W168))=W178,0.5,IF(ABS(SUM(W166:W168))&gt;W178,1,0)))</f>
        <v>0</v>
      </c>
      <c r="Y166" s="186">
        <v>171</v>
      </c>
      <c r="Z166" s="95">
        <f>IF(SUM(Y166:Y168)+Y178=0,0,IF(ABS(SUM(Y166:Y168))=Y178,0.5,IF(ABS(SUM(Y166:Y168))&gt;Y178,1,0)))</f>
        <v>1</v>
      </c>
      <c r="AA166" s="186">
        <v>209</v>
      </c>
      <c r="AB166" s="95">
        <f>IF(SUM(AA166:AA168)+AA178=0,0,IF(ABS(SUM(AA166:AA168))=AA178,0.5,IF(ABS(SUM(AA166:AA168))&gt;AA178,1,0)))</f>
        <v>1</v>
      </c>
      <c r="AC166" s="186">
        <v>163</v>
      </c>
      <c r="AD166" s="95">
        <f>IF(SUM(AC166:AC168)+AC178=0,0,IF(ABS(SUM(AC166:AC168))=AC178,0.5,IF(ABS(SUM(AC166:AC168))&gt;AC178,1,0)))</f>
        <v>0</v>
      </c>
      <c r="AE166" s="195">
        <f t="shared" si="135"/>
        <v>904</v>
      </c>
      <c r="AF166" s="180">
        <f>SUM(V166+X166+Z166+AB166+AD166)</f>
        <v>2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36"/>
        <v>16707</v>
      </c>
      <c r="BE166" s="213">
        <f t="shared" si="137"/>
        <v>904</v>
      </c>
      <c r="BF166" s="215">
        <f t="shared" si="138"/>
        <v>5</v>
      </c>
      <c r="BG166" s="215">
        <f t="shared" si="139"/>
        <v>5</v>
      </c>
      <c r="BH166" s="215">
        <f t="shared" si="140"/>
        <v>180</v>
      </c>
      <c r="BI166" s="215">
        <f t="shared" si="141"/>
        <v>181</v>
      </c>
      <c r="BJ166" s="215">
        <f t="shared" si="142"/>
        <v>171</v>
      </c>
      <c r="BK166" s="215">
        <f t="shared" si="143"/>
        <v>209</v>
      </c>
      <c r="BL166" s="215">
        <f t="shared" si="144"/>
        <v>163</v>
      </c>
      <c r="BM166" s="216"/>
      <c r="BN166" s="214"/>
      <c r="BO166" s="215">
        <f t="shared" si="145"/>
        <v>209</v>
      </c>
      <c r="BP166" s="215">
        <f t="shared" si="146"/>
        <v>0</v>
      </c>
      <c r="BQ166" s="215" t="str">
        <f t="shared" si="152"/>
        <v>Adler Nürnberg 1</v>
      </c>
      <c r="BR166" s="214">
        <f t="shared" si="147"/>
        <v>2</v>
      </c>
      <c r="BS166" s="215">
        <f t="shared" si="148"/>
        <v>904</v>
      </c>
      <c r="BT166" s="215">
        <f>IF(COUNTIF(BH166:BL166,"&gt;0")&lt;Spielorte!$A$23,0,BE166/Spielorte!$A$23)</f>
        <v>180.8</v>
      </c>
      <c r="BU166" s="215">
        <f t="shared" si="149"/>
        <v>0</v>
      </c>
      <c r="BV166" s="214">
        <f t="shared" si="150"/>
        <v>0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51"/>
        <v/>
      </c>
      <c r="D167" s="15" t="str">
        <f t="shared" si="151"/>
        <v/>
      </c>
      <c r="E167" s="353"/>
      <c r="F167" s="15" t="str">
        <f t="shared" si="130"/>
        <v/>
      </c>
      <c r="G167" s="353"/>
      <c r="H167" s="15" t="str">
        <f t="shared" si="131"/>
        <v/>
      </c>
      <c r="I167" s="353"/>
      <c r="J167" s="15" t="str">
        <f t="shared" si="132"/>
        <v/>
      </c>
      <c r="K167" s="353"/>
      <c r="L167" s="15" t="str">
        <f t="shared" si="133"/>
        <v/>
      </c>
      <c r="M167" s="353"/>
      <c r="N167" s="15" t="str">
        <f t="shared" si="134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35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36"/>
        <v>0</v>
      </c>
      <c r="BE167" s="213">
        <f t="shared" si="137"/>
        <v>0</v>
      </c>
      <c r="BF167" s="215">
        <f t="shared" si="138"/>
        <v>0</v>
      </c>
      <c r="BG167" s="215">
        <f t="shared" si="139"/>
        <v>0</v>
      </c>
      <c r="BH167" s="215" t="str">
        <f t="shared" si="140"/>
        <v/>
      </c>
      <c r="BI167" s="215" t="str">
        <f t="shared" si="141"/>
        <v/>
      </c>
      <c r="BJ167" s="215" t="str">
        <f t="shared" si="142"/>
        <v/>
      </c>
      <c r="BK167" s="215" t="str">
        <f t="shared" si="143"/>
        <v/>
      </c>
      <c r="BL167" s="215" t="str">
        <f t="shared" si="144"/>
        <v/>
      </c>
      <c r="BM167" s="216"/>
      <c r="BN167" s="214"/>
      <c r="BO167" s="215">
        <f t="shared" si="145"/>
        <v>0</v>
      </c>
      <c r="BP167" s="215">
        <f t="shared" si="146"/>
        <v>0</v>
      </c>
      <c r="BQ167" s="215" t="str">
        <f t="shared" si="152"/>
        <v>Adler Nürnberg 1</v>
      </c>
      <c r="BR167" s="214">
        <f t="shared" si="147"/>
        <v>2</v>
      </c>
      <c r="BS167" s="215">
        <f t="shared" si="148"/>
        <v>0</v>
      </c>
      <c r="BT167" s="215">
        <f>IF(COUNTIF(BH167:BL167,"&gt;0")&lt;Spielorte!$A$23,0,BE167/Spielorte!$A$23)</f>
        <v>0</v>
      </c>
      <c r="BU167" s="215">
        <f t="shared" si="149"/>
        <v>0</v>
      </c>
      <c r="BV167" s="214">
        <f t="shared" si="150"/>
        <v>0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51"/>
        <v/>
      </c>
      <c r="D168" s="9" t="str">
        <f t="shared" si="151"/>
        <v/>
      </c>
      <c r="E168" s="354"/>
      <c r="F168" s="9" t="str">
        <f t="shared" si="130"/>
        <v/>
      </c>
      <c r="G168" s="354"/>
      <c r="H168" s="9" t="str">
        <f t="shared" si="131"/>
        <v/>
      </c>
      <c r="I168" s="354"/>
      <c r="J168" s="9" t="str">
        <f t="shared" si="132"/>
        <v/>
      </c>
      <c r="K168" s="354"/>
      <c r="L168" s="9" t="str">
        <f t="shared" si="133"/>
        <v/>
      </c>
      <c r="M168" s="354"/>
      <c r="N168" s="9" t="str">
        <f t="shared" si="134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35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36"/>
        <v>0</v>
      </c>
      <c r="BE168" s="213">
        <f t="shared" si="137"/>
        <v>0</v>
      </c>
      <c r="BF168" s="215">
        <f t="shared" si="138"/>
        <v>0</v>
      </c>
      <c r="BG168" s="215">
        <f t="shared" si="139"/>
        <v>0</v>
      </c>
      <c r="BH168" s="215" t="str">
        <f t="shared" si="140"/>
        <v/>
      </c>
      <c r="BI168" s="215" t="str">
        <f t="shared" si="141"/>
        <v/>
      </c>
      <c r="BJ168" s="215" t="str">
        <f t="shared" si="142"/>
        <v/>
      </c>
      <c r="BK168" s="215" t="str">
        <f t="shared" si="143"/>
        <v/>
      </c>
      <c r="BL168" s="215" t="str">
        <f t="shared" si="144"/>
        <v/>
      </c>
      <c r="BM168" s="216"/>
      <c r="BN168" s="214"/>
      <c r="BO168" s="215">
        <f t="shared" si="145"/>
        <v>0</v>
      </c>
      <c r="BP168" s="215">
        <f t="shared" si="146"/>
        <v>0</v>
      </c>
      <c r="BQ168" s="215" t="str">
        <f t="shared" si="152"/>
        <v>Adler Nürnberg 1</v>
      </c>
      <c r="BR168" s="214">
        <f t="shared" si="147"/>
        <v>2</v>
      </c>
      <c r="BS168" s="215">
        <f t="shared" si="148"/>
        <v>0</v>
      </c>
      <c r="BT168" s="215">
        <f>IF(COUNTIF(BH168:BL168,"&gt;0")&lt;Spielorte!$A$23,0,BE168/Spielorte!$A$23)</f>
        <v>0</v>
      </c>
      <c r="BU168" s="215">
        <f t="shared" si="149"/>
        <v>0</v>
      </c>
      <c r="BV168" s="214">
        <f t="shared" si="150"/>
        <v>0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51"/>
        <v/>
      </c>
      <c r="D169" s="16">
        <f t="shared" si="151"/>
        <v>679</v>
      </c>
      <c r="E169" s="12">
        <f>IF(V169="","",V169)</f>
        <v>2</v>
      </c>
      <c r="F169" s="16">
        <f t="shared" si="130"/>
        <v>670</v>
      </c>
      <c r="G169" s="12">
        <f>IF(X169="","",X169)</f>
        <v>2</v>
      </c>
      <c r="H169" s="16">
        <f t="shared" si="131"/>
        <v>650</v>
      </c>
      <c r="I169" s="12">
        <f>IF(Z169="","",Z169)</f>
        <v>0</v>
      </c>
      <c r="J169" s="16">
        <f t="shared" si="132"/>
        <v>747</v>
      </c>
      <c r="K169" s="12">
        <f>IF(AB169="","",AB169)</f>
        <v>2</v>
      </c>
      <c r="L169" s="16">
        <f t="shared" si="133"/>
        <v>596</v>
      </c>
      <c r="M169" s="12">
        <f>IF(AD169="","",AD169)</f>
        <v>0</v>
      </c>
      <c r="N169" s="16">
        <f t="shared" si="134"/>
        <v>3342</v>
      </c>
      <c r="O169" s="12">
        <f>IF(AF169="","",AF169)</f>
        <v>6</v>
      </c>
      <c r="S169" s="11" t="s">
        <v>1791</v>
      </c>
      <c r="T169" s="71"/>
      <c r="U169" s="188">
        <f>ABS(SUM(U157:U159))+ABS(SUM(U160:U162))+ABS(SUM(U163:U165))+ABS(SUM(U166:U168))</f>
        <v>679</v>
      </c>
      <c r="V169" s="98">
        <f>IF(U169+U179=0,0,IF(U169=U179,1,IF(U169&gt;U179,2,0)))</f>
        <v>2</v>
      </c>
      <c r="W169" s="188">
        <f>ABS(SUM(W157:W159))+ABS(SUM(W160:W162))+ABS(SUM(W163:W165))+ABS(SUM(W166:W168))</f>
        <v>670</v>
      </c>
      <c r="X169" s="98">
        <f>IF(W169+W179=0,0,IF(W169=W179,1,IF(W169&gt;W179,2,0)))</f>
        <v>2</v>
      </c>
      <c r="Y169" s="188">
        <f>ABS(SUM(Y157:Y159))+ABS(SUM(Y160:Y162))+ABS(SUM(Y163:Y165))+ABS(SUM(Y166:Y168))</f>
        <v>650</v>
      </c>
      <c r="Z169" s="98">
        <f>IF(Y169+Y179=0,0,IF(Y169=Y179,1,IF(Y169&gt;Y179,2,0)))</f>
        <v>0</v>
      </c>
      <c r="AA169" s="188">
        <f>ABS(SUM(AA157:AA159))+ABS(SUM(AA160:AA162))+ABS(SUM(AA163:AA165))+ABS(SUM(AA166:AA168))</f>
        <v>747</v>
      </c>
      <c r="AB169" s="98">
        <f>IF(AA169+AA179=0,0,IF(AA169=AA179,1,IF(AA169&gt;AA179,2,0)))</f>
        <v>2</v>
      </c>
      <c r="AC169" s="188">
        <f>ABS(SUM(AC157:AC159))+ABS(SUM(AC160:AC162))+ABS(SUM(AC163:AC165))+ABS(SUM(AC166:AC168))</f>
        <v>596</v>
      </c>
      <c r="AD169" s="98">
        <f>IF(AC169+AC179=0,0,IF(AC169=AC179,1,IF(AC169&gt;AC179,2,0)))</f>
        <v>0</v>
      </c>
      <c r="AE169" s="198">
        <f>SUM(U169+W169+Y169+AA169+AC169)</f>
        <v>3342</v>
      </c>
      <c r="AF169" s="12">
        <f>SUM(V169+X169+Z169+AB169+AD169)</f>
        <v>6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51"/>
        <v/>
      </c>
      <c r="D170" s="1" t="str">
        <f t="shared" si="151"/>
        <v/>
      </c>
      <c r="E170" s="23">
        <f>IF(V170="","",V170)</f>
        <v>5</v>
      </c>
      <c r="F170" s="1" t="str">
        <f t="shared" si="130"/>
        <v/>
      </c>
      <c r="G170" s="23">
        <f>IF(X170="","",X170)</f>
        <v>4</v>
      </c>
      <c r="H170" s="1" t="str">
        <f t="shared" si="131"/>
        <v/>
      </c>
      <c r="I170" s="23">
        <f>IF(Z170="","",Z170)</f>
        <v>1</v>
      </c>
      <c r="J170" s="1" t="str">
        <f t="shared" si="132"/>
        <v/>
      </c>
      <c r="K170" s="23">
        <f>IF(AB170="","",AB170)</f>
        <v>5</v>
      </c>
      <c r="L170" s="1" t="str">
        <f t="shared" si="133"/>
        <v/>
      </c>
      <c r="M170" s="23">
        <f>IF(AD170="","",AD170)</f>
        <v>0</v>
      </c>
      <c r="N170" s="1" t="str">
        <f t="shared" si="134"/>
        <v/>
      </c>
      <c r="O170" s="23">
        <f>IF(AF170="","",AF170)</f>
        <v>15</v>
      </c>
      <c r="S170" s="8" t="s">
        <v>1802</v>
      </c>
      <c r="T170" s="1"/>
      <c r="U170" s="1"/>
      <c r="V170" s="72">
        <f>SUM(V157:V169)</f>
        <v>5</v>
      </c>
      <c r="W170" s="1"/>
      <c r="X170" s="72">
        <f>SUM(X157:X169)</f>
        <v>4</v>
      </c>
      <c r="Y170" s="1"/>
      <c r="Z170" s="72">
        <f>SUM(Z157:Z169)</f>
        <v>1</v>
      </c>
      <c r="AA170" s="1"/>
      <c r="AB170" s="72">
        <f>SUM(AB157:AB169)</f>
        <v>5</v>
      </c>
      <c r="AC170" s="1"/>
      <c r="AD170" s="72">
        <f>SUM(AD157:AD169)</f>
        <v>0</v>
      </c>
      <c r="AE170" s="1"/>
      <c r="AF170" s="72">
        <f>SUM(AF157:AF169)</f>
        <v>15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15</v>
      </c>
      <c r="BB170" s="213">
        <f>AE169</f>
        <v>3342</v>
      </c>
      <c r="BC170" s="214">
        <f>+S152</f>
        <v>6</v>
      </c>
      <c r="BF170" s="215">
        <f>SUM(BF151:BF169)</f>
        <v>20</v>
      </c>
      <c r="BM170" s="212">
        <f>+BB170/1000000+BA170</f>
        <v>15.003342</v>
      </c>
      <c r="BN170" s="214">
        <f>RANK(BM170,BM:BM)</f>
        <v>4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M172" si="153">IF(S172=0,"",S172)</f>
        <v>Gegner-Nr.:</v>
      </c>
      <c r="C172" s="5" t="str">
        <f t="shared" si="153"/>
        <v>&gt;&gt;&gt;&gt;</v>
      </c>
      <c r="D172" s="350">
        <f t="shared" si="153"/>
        <v>1</v>
      </c>
      <c r="E172" s="350" t="str">
        <f t="shared" si="153"/>
        <v/>
      </c>
      <c r="F172" s="350">
        <f t="shared" si="153"/>
        <v>5</v>
      </c>
      <c r="G172" s="350" t="str">
        <f t="shared" si="153"/>
        <v/>
      </c>
      <c r="H172" s="350">
        <f t="shared" si="153"/>
        <v>2</v>
      </c>
      <c r="I172" s="350" t="str">
        <f t="shared" si="153"/>
        <v/>
      </c>
      <c r="J172" s="350">
        <f t="shared" si="153"/>
        <v>3</v>
      </c>
      <c r="K172" s="350" t="str">
        <f t="shared" si="153"/>
        <v/>
      </c>
      <c r="L172" s="350">
        <f t="shared" si="153"/>
        <v>4</v>
      </c>
      <c r="M172" s="350" t="str">
        <f t="shared" si="153"/>
        <v/>
      </c>
      <c r="N172" s="351"/>
      <c r="O172" s="351"/>
      <c r="S172" s="13" t="s">
        <v>1789</v>
      </c>
      <c r="T172" s="5" t="s">
        <v>1790</v>
      </c>
      <c r="U172" s="369">
        <f>VLOOKUP($S152,Schlüssel!$A$5:$DG$10,23)</f>
        <v>1</v>
      </c>
      <c r="V172" s="370"/>
      <c r="W172" s="369">
        <f>VLOOKUP($S152,Schlüssel!$A$5:$EK$10,24)</f>
        <v>5</v>
      </c>
      <c r="X172" s="370"/>
      <c r="Y172" s="369">
        <f>VLOOKUP($S152,Schlüssel!$A$5:$EK$10,25)</f>
        <v>2</v>
      </c>
      <c r="Z172" s="370"/>
      <c r="AA172" s="369">
        <f>VLOOKUP($S152,Schlüssel!$A$5:$EK$10,26)</f>
        <v>3</v>
      </c>
      <c r="AB172" s="370"/>
      <c r="AC172" s="369">
        <f>VLOOKUP($S152,Schlüssel!$A$5:$EK$10,27)</f>
        <v>4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ref="B173:M174" si="154">IF(S173=0,"",S173)</f>
        <v/>
      </c>
      <c r="C173" s="1" t="str">
        <f t="shared" si="154"/>
        <v/>
      </c>
      <c r="D173" s="347" t="str">
        <f t="shared" si="154"/>
        <v>Castra Regina Regensburg 3</v>
      </c>
      <c r="E173" s="348" t="str">
        <f t="shared" si="154"/>
        <v/>
      </c>
      <c r="F173" s="347" t="str">
        <f t="shared" si="154"/>
        <v>Castra Regina Regensburg 2</v>
      </c>
      <c r="G173" s="348" t="str">
        <f t="shared" si="154"/>
        <v/>
      </c>
      <c r="H173" s="347" t="str">
        <f t="shared" si="154"/>
        <v>Herzogenaurach 1</v>
      </c>
      <c r="I173" s="348" t="str">
        <f t="shared" si="154"/>
        <v/>
      </c>
      <c r="J173" s="347" t="str">
        <f t="shared" si="154"/>
        <v>Kings Club Bayreuth Land 2</v>
      </c>
      <c r="K173" s="348" t="str">
        <f t="shared" si="154"/>
        <v/>
      </c>
      <c r="L173" s="347" t="str">
        <f t="shared" si="154"/>
        <v>Kings Club Bayreuth Land 3</v>
      </c>
      <c r="M173" s="348" t="str">
        <f t="shared" si="154"/>
        <v/>
      </c>
      <c r="N173" s="349"/>
      <c r="O173" s="349"/>
      <c r="S173" s="4"/>
      <c r="T173" s="1"/>
      <c r="U173" s="347" t="str">
        <f>VLOOKUP(U172,Schlüssel!$A$5:$K$10,2)</f>
        <v>Castra Regina Regensburg 3</v>
      </c>
      <c r="V173" s="348"/>
      <c r="W173" s="347" t="str">
        <f>VLOOKUP(W172,Schlüssel!$A$5:$K$10,2)</f>
        <v>Castra Regina Regensburg 2</v>
      </c>
      <c r="X173" s="348"/>
      <c r="Y173" s="347" t="str">
        <f>VLOOKUP(Y172,Schlüssel!$A$5:$K$10,2)</f>
        <v>Herzogenaurach 1</v>
      </c>
      <c r="Z173" s="348"/>
      <c r="AA173" s="347" t="str">
        <f>VLOOKUP(AA172,Schlüssel!$A$5:$K$10,2)</f>
        <v>Kings Club Bayreuth Land 2</v>
      </c>
      <c r="AB173" s="348"/>
      <c r="AC173" s="347" t="str">
        <f>VLOOKUP(AC172,Schlüssel!$A$5:$K$10,2)</f>
        <v>Kings Club Bayreuth Land 3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54"/>
        <v/>
      </c>
      <c r="C174" s="1" t="str">
        <f t="shared" si="154"/>
        <v/>
      </c>
      <c r="D174" s="346" t="str">
        <f t="shared" si="154"/>
        <v/>
      </c>
      <c r="E174" s="346" t="str">
        <f t="shared" si="154"/>
        <v/>
      </c>
      <c r="F174" s="346" t="str">
        <f t="shared" si="154"/>
        <v/>
      </c>
      <c r="G174" s="346" t="str">
        <f t="shared" si="154"/>
        <v/>
      </c>
      <c r="H174" s="346" t="str">
        <f t="shared" si="154"/>
        <v/>
      </c>
      <c r="I174" s="346" t="str">
        <f t="shared" si="154"/>
        <v/>
      </c>
      <c r="J174" s="346" t="str">
        <f t="shared" si="154"/>
        <v/>
      </c>
      <c r="K174" s="346" t="str">
        <f t="shared" si="154"/>
        <v/>
      </c>
      <c r="L174" s="346" t="str">
        <f t="shared" si="154"/>
        <v/>
      </c>
      <c r="M174" s="346" t="str">
        <f t="shared" si="154"/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ref="B175:C179" si="155">IF(S175=0,"",S175)</f>
        <v>Spieler 1</v>
      </c>
      <c r="C175" s="372" t="str">
        <f t="shared" si="155"/>
        <v/>
      </c>
      <c r="D175" s="344">
        <f>IF(U175=301,"",U175)</f>
        <v>158</v>
      </c>
      <c r="E175" s="344" t="str">
        <f>IF(V175=0,"",V175)</f>
        <v/>
      </c>
      <c r="F175" s="344">
        <f>IF(W175=301,"",W175)</f>
        <v>130</v>
      </c>
      <c r="G175" s="344" t="str">
        <f>IF(X175=0,"",X175)</f>
        <v/>
      </c>
      <c r="H175" s="344">
        <f>IF(Y175=301,"",Y175)</f>
        <v>194</v>
      </c>
      <c r="I175" s="344" t="str">
        <f>IF(Z175=0,"",Z175)</f>
        <v/>
      </c>
      <c r="J175" s="344">
        <f>IF(AA175=301,"",AA175)</f>
        <v>145</v>
      </c>
      <c r="K175" s="344" t="str">
        <f>IF(AB175=0,"",AB175)</f>
        <v/>
      </c>
      <c r="L175" s="344">
        <f>IF(AC175=301,"",AC175)</f>
        <v>169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158</v>
      </c>
      <c r="V175" s="368"/>
      <c r="W175" s="367">
        <f>ABS(INDEX(W:W,MATCH(W172,$S:$S,0)+5)+INDEX(W:W,MATCH(W172,$S:$S,0)+6)+INDEX(W:W,MATCH(W172,$S:$S,0)+7))</f>
        <v>130</v>
      </c>
      <c r="X175" s="368"/>
      <c r="Y175" s="367">
        <f>ABS(INDEX(Y:Y,MATCH(Y172,$S:$S,0)+5)+INDEX(Y:Y,MATCH(Y172,$S:$S,0)+6)+INDEX(Y:Y,MATCH(Y172,$S:$S,0)+7))</f>
        <v>194</v>
      </c>
      <c r="Z175" s="368"/>
      <c r="AA175" s="367">
        <f>ABS(INDEX(AA:AA,MATCH(AA172,$S:$S,0)+5)+INDEX(AA:AA,MATCH(AA172,$S:$S,0)+6)+INDEX(AA:AA,MATCH(AA172,$S:$S,0)+7))</f>
        <v>145</v>
      </c>
      <c r="AB175" s="368"/>
      <c r="AC175" s="367">
        <f>ABS(INDEX(AC:AC,MATCH(AC172,$S:$S,0)+5)+INDEX(AC:AC,MATCH(AC172,$S:$S,0)+6)+INDEX(AC:AC,MATCH(AC172,$S:$S,0)+7))</f>
        <v>169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55"/>
        <v>Spieler 2</v>
      </c>
      <c r="C176" s="372" t="str">
        <f t="shared" si="155"/>
        <v/>
      </c>
      <c r="D176" s="344">
        <f>IF(U176=301,"",U176)</f>
        <v>137</v>
      </c>
      <c r="E176" s="344" t="str">
        <f>IF(V176=0,"",V176)</f>
        <v/>
      </c>
      <c r="F176" s="344">
        <f>IF(W176=301,"",W176)</f>
        <v>131</v>
      </c>
      <c r="G176" s="344" t="str">
        <f>IF(X176=0,"",X176)</f>
        <v/>
      </c>
      <c r="H176" s="344">
        <f>IF(Y176=301,"",Y176)</f>
        <v>176</v>
      </c>
      <c r="I176" s="344" t="str">
        <f>IF(Z176=0,"",Z176)</f>
        <v/>
      </c>
      <c r="J176" s="344">
        <f>IF(AA176=301,"",AA176)</f>
        <v>201</v>
      </c>
      <c r="K176" s="344" t="str">
        <f>IF(AB176=0,"",AB176)</f>
        <v/>
      </c>
      <c r="L176" s="344">
        <f>IF(AC176=301,"",AC176)</f>
        <v>176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137</v>
      </c>
      <c r="V176" s="366"/>
      <c r="W176" s="365">
        <f>ABS(INDEX(W:W,MATCH(W172,$S:$S,0)+8)+INDEX(W:W,MATCH(W172,$S:$S,0)+9)+INDEX(W:W,MATCH(W172,$S:$S,0)+10))</f>
        <v>131</v>
      </c>
      <c r="X176" s="366"/>
      <c r="Y176" s="365">
        <f>ABS(INDEX(Y:Y,MATCH(Y172,$S:$S,0)+8)+INDEX(Y:Y,MATCH(Y172,$S:$S,0)+9)+INDEX(Y:Y,MATCH(Y172,$S:$S,0)+10))</f>
        <v>176</v>
      </c>
      <c r="Z176" s="366"/>
      <c r="AA176" s="365">
        <f>ABS(INDEX(AA:AA,MATCH(AA172,$S:$S,0)+8)+INDEX(AA:AA,MATCH(AA172,$S:$S,0)+9)+INDEX(AA:AA,MATCH(AA172,$S:$S,0)+10))</f>
        <v>201</v>
      </c>
      <c r="AB176" s="366"/>
      <c r="AC176" s="365">
        <f>ABS(INDEX(AC:AC,MATCH(AC172,$S:$S,0)+8)+INDEX(AC:AC,MATCH(AC172,$S:$S,0)+9)+INDEX(AC:AC,MATCH(AC172,$S:$S,0)+10))</f>
        <v>176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55"/>
        <v>Spieler 3</v>
      </c>
      <c r="C177" s="372" t="str">
        <f t="shared" si="155"/>
        <v/>
      </c>
      <c r="D177" s="344">
        <f>IF(U177=301,"",U177)</f>
        <v>149</v>
      </c>
      <c r="E177" s="344" t="str">
        <f>IF(V177=0,"",V177)</f>
        <v/>
      </c>
      <c r="F177" s="344">
        <f>IF(W177=301,"",W177)</f>
        <v>184</v>
      </c>
      <c r="G177" s="344" t="str">
        <f>IF(X177=0,"",X177)</f>
        <v/>
      </c>
      <c r="H177" s="344">
        <f>IF(Y177=301,"",Y177)</f>
        <v>179</v>
      </c>
      <c r="I177" s="344" t="str">
        <f>IF(Z177=0,"",Z177)</f>
        <v/>
      </c>
      <c r="J177" s="344">
        <f>IF(AA177=301,"",AA177)</f>
        <v>161</v>
      </c>
      <c r="K177" s="344" t="str">
        <f>IF(AB177=0,"",AB177)</f>
        <v/>
      </c>
      <c r="L177" s="344">
        <f>IF(AC177=301,"",AC177)</f>
        <v>148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149</v>
      </c>
      <c r="V177" s="366"/>
      <c r="W177" s="365">
        <f>ABS(INDEX(W:W,MATCH(W172,$S:$S,0)+11)+INDEX(W:W,MATCH(W172,$S:$S,0)+12)+INDEX(W:W,MATCH(W172,$S:$S,0)+13))</f>
        <v>184</v>
      </c>
      <c r="X177" s="366"/>
      <c r="Y177" s="365">
        <f>ABS(INDEX(Y:Y,MATCH(Y172,$S:$S,0)+11)+INDEX(Y:Y,MATCH(Y172,$S:$S,0)+12)+INDEX(Y:Y,MATCH(Y172,$S:$S,0)+13))</f>
        <v>179</v>
      </c>
      <c r="Z177" s="366"/>
      <c r="AA177" s="365">
        <f>ABS(INDEX(AA:AA,MATCH(AA172,$S:$S,0)+11)+INDEX(AA:AA,MATCH(AA172,$S:$S,0)+12)+INDEX(AA:AA,MATCH(AA172,$S:$S,0)+13))</f>
        <v>161</v>
      </c>
      <c r="AB177" s="366"/>
      <c r="AC177" s="365">
        <f>ABS(INDEX(AC:AC,MATCH(AC172,$S:$S,0)+11)+INDEX(AC:AC,MATCH(AC172,$S:$S,0)+12)+INDEX(AC:AC,MATCH(AC172,$S:$S,0)+13))</f>
        <v>148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55"/>
        <v>Spieler 4</v>
      </c>
      <c r="C178" s="372" t="str">
        <f t="shared" si="155"/>
        <v/>
      </c>
      <c r="D178" s="344">
        <f>IF(U178=301,"",U178)</f>
        <v>209</v>
      </c>
      <c r="E178" s="344" t="str">
        <f>IF(V178=0,"",V178)</f>
        <v/>
      </c>
      <c r="F178" s="344">
        <f>IF(W178=301,"",W178)</f>
        <v>190</v>
      </c>
      <c r="G178" s="344" t="str">
        <f>IF(X178=0,"",X178)</f>
        <v/>
      </c>
      <c r="H178" s="344">
        <f>IF(Y178=301,"",Y178)</f>
        <v>136</v>
      </c>
      <c r="I178" s="344" t="str">
        <f>IF(Z178=0,"",Z178)</f>
        <v/>
      </c>
      <c r="J178" s="344">
        <f>IF(AA178=301,"",AA178)</f>
        <v>146</v>
      </c>
      <c r="K178" s="344" t="str">
        <f>IF(AB178=0,"",AB178)</f>
        <v/>
      </c>
      <c r="L178" s="344">
        <f>IF(AC178=301,"",AC178)</f>
        <v>184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209</v>
      </c>
      <c r="V178" s="366"/>
      <c r="W178" s="365">
        <f>ABS(INDEX(W:W,MATCH(W172,$S:$S,0)+14)+INDEX(W:W,MATCH(W172,$S:$S,0)+15)+INDEX(W:W,MATCH(W172,$S:$S,0)+16))</f>
        <v>190</v>
      </c>
      <c r="X178" s="366"/>
      <c r="Y178" s="365">
        <f>ABS(INDEX(Y:Y,MATCH(Y172,$S:$S,0)+14)+INDEX(Y:Y,MATCH(Y172,$S:$S,0)+15)+INDEX(Y:Y,MATCH(Y172,$S:$S,0)+16))</f>
        <v>136</v>
      </c>
      <c r="Z178" s="366"/>
      <c r="AA178" s="365">
        <f>ABS(INDEX(AA:AA,MATCH(AA172,$S:$S,0)+14)+INDEX(AA:AA,MATCH(AA172,$S:$S,0)+15)+INDEX(AA:AA,MATCH(AA172,$S:$S,0)+16))</f>
        <v>146</v>
      </c>
      <c r="AB178" s="366"/>
      <c r="AC178" s="365">
        <f>ABS(INDEX(AC:AC,MATCH(AC172,$S:$S,0)+14)+INDEX(AC:AC,MATCH(AC172,$S:$S,0)+15)+INDEX(AC:AC,MATCH(AC172,$S:$S,0)+16))</f>
        <v>184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55"/>
        <v>Gesamt</v>
      </c>
      <c r="C179" s="360" t="str">
        <f t="shared" si="155"/>
        <v/>
      </c>
      <c r="D179" s="343">
        <f>IF(U179=1505,"",U179)</f>
        <v>653</v>
      </c>
      <c r="E179" s="343" t="str">
        <f>IF(V179=0,"",V179)</f>
        <v/>
      </c>
      <c r="F179" s="343">
        <f>IF(W179=1505,"",W179)</f>
        <v>635</v>
      </c>
      <c r="G179" s="343" t="str">
        <f>IF(X179=0,"",X179)</f>
        <v/>
      </c>
      <c r="H179" s="343">
        <f>IF(Y179=1505,"",Y179)</f>
        <v>685</v>
      </c>
      <c r="I179" s="343" t="str">
        <f>IF(Z179=0,"",Z179)</f>
        <v/>
      </c>
      <c r="J179" s="343">
        <f>IF(AA179=1505,"",AA179)</f>
        <v>653</v>
      </c>
      <c r="K179" s="343" t="str">
        <f>IF(AB179=0,"",AB179)</f>
        <v/>
      </c>
      <c r="L179" s="343">
        <f>IF(AC179=1505,"",AC179)</f>
        <v>677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653</v>
      </c>
      <c r="V179" s="360"/>
      <c r="W179" s="359">
        <f>SUM(W175:W178)</f>
        <v>635</v>
      </c>
      <c r="X179" s="360"/>
      <c r="Y179" s="359">
        <f>SUM(Y175:Y178)</f>
        <v>685</v>
      </c>
      <c r="Z179" s="360"/>
      <c r="AA179" s="359">
        <f>SUM(AA175:AA178)</f>
        <v>653</v>
      </c>
      <c r="AB179" s="360"/>
      <c r="AC179" s="359">
        <f>SUM(AC175:AC178)</f>
        <v>677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/>
  <mergeCells count="810">
    <mergeCell ref="N179:O179"/>
    <mergeCell ref="B179:C179"/>
    <mergeCell ref="D179:E179"/>
    <mergeCell ref="F179:G179"/>
    <mergeCell ref="H179:I179"/>
    <mergeCell ref="J179:K179"/>
    <mergeCell ref="L179:M179"/>
    <mergeCell ref="B178:C178"/>
    <mergeCell ref="D178:E178"/>
    <mergeCell ref="F178:G178"/>
    <mergeCell ref="H178:I178"/>
    <mergeCell ref="J178:K178"/>
    <mergeCell ref="L178:M178"/>
    <mergeCell ref="N178:O178"/>
    <mergeCell ref="B177:C177"/>
    <mergeCell ref="D177:E177"/>
    <mergeCell ref="F177:G177"/>
    <mergeCell ref="H177:I177"/>
    <mergeCell ref="J177:K177"/>
    <mergeCell ref="L177:M177"/>
    <mergeCell ref="N175:O175"/>
    <mergeCell ref="B176:C176"/>
    <mergeCell ref="D176:E176"/>
    <mergeCell ref="F176:G176"/>
    <mergeCell ref="H176:I176"/>
    <mergeCell ref="J176:K176"/>
    <mergeCell ref="N177:O177"/>
    <mergeCell ref="D174:E174"/>
    <mergeCell ref="F174:G174"/>
    <mergeCell ref="H174:I174"/>
    <mergeCell ref="J174:K174"/>
    <mergeCell ref="L174:M174"/>
    <mergeCell ref="N174:O174"/>
    <mergeCell ref="L176:M176"/>
    <mergeCell ref="N176:O176"/>
    <mergeCell ref="B175:C175"/>
    <mergeCell ref="D175:E175"/>
    <mergeCell ref="F175:G175"/>
    <mergeCell ref="H175:I175"/>
    <mergeCell ref="J175:K175"/>
    <mergeCell ref="L175:M175"/>
    <mergeCell ref="A166:A168"/>
    <mergeCell ref="E166:E168"/>
    <mergeCell ref="G166:G168"/>
    <mergeCell ref="I166:I168"/>
    <mergeCell ref="K166:K168"/>
    <mergeCell ref="M166:M168"/>
    <mergeCell ref="O166:O168"/>
    <mergeCell ref="R166:R168"/>
    <mergeCell ref="N173:O173"/>
    <mergeCell ref="D172:E172"/>
    <mergeCell ref="F172:G172"/>
    <mergeCell ref="H172:I172"/>
    <mergeCell ref="J172:K172"/>
    <mergeCell ref="L172:M172"/>
    <mergeCell ref="N172:O172"/>
    <mergeCell ref="D173:E173"/>
    <mergeCell ref="F173:G173"/>
    <mergeCell ref="H173:I173"/>
    <mergeCell ref="J173:K173"/>
    <mergeCell ref="L173:M173"/>
    <mergeCell ref="A160:A162"/>
    <mergeCell ref="E160:E162"/>
    <mergeCell ref="G160:G162"/>
    <mergeCell ref="I160:I162"/>
    <mergeCell ref="K160:K162"/>
    <mergeCell ref="M160:M162"/>
    <mergeCell ref="O160:O162"/>
    <mergeCell ref="R160:R162"/>
    <mergeCell ref="A163:A165"/>
    <mergeCell ref="E163:E165"/>
    <mergeCell ref="G163:G165"/>
    <mergeCell ref="I163:I165"/>
    <mergeCell ref="K163:K165"/>
    <mergeCell ref="M163:M165"/>
    <mergeCell ref="O163:O165"/>
    <mergeCell ref="R163:R165"/>
    <mergeCell ref="D155:E155"/>
    <mergeCell ref="F155:G155"/>
    <mergeCell ref="H155:I155"/>
    <mergeCell ref="J155:K155"/>
    <mergeCell ref="L155:M155"/>
    <mergeCell ref="N155:O155"/>
    <mergeCell ref="U155:V155"/>
    <mergeCell ref="A157:A159"/>
    <mergeCell ref="E157:E159"/>
    <mergeCell ref="G157:G159"/>
    <mergeCell ref="I157:I159"/>
    <mergeCell ref="K157:K159"/>
    <mergeCell ref="M157:M159"/>
    <mergeCell ref="O157:O159"/>
    <mergeCell ref="R157:R159"/>
    <mergeCell ref="B149:C149"/>
    <mergeCell ref="D149:E149"/>
    <mergeCell ref="F149:G149"/>
    <mergeCell ref="H149:I149"/>
    <mergeCell ref="J149:K149"/>
    <mergeCell ref="L149:M149"/>
    <mergeCell ref="N149:O149"/>
    <mergeCell ref="P151:R151"/>
    <mergeCell ref="AD151:AF151"/>
    <mergeCell ref="M151:O151"/>
    <mergeCell ref="B148:C148"/>
    <mergeCell ref="D148:E148"/>
    <mergeCell ref="F148:G148"/>
    <mergeCell ref="H148:I148"/>
    <mergeCell ref="J148:K148"/>
    <mergeCell ref="L148:M148"/>
    <mergeCell ref="N148:O148"/>
    <mergeCell ref="B147:C147"/>
    <mergeCell ref="D147:E147"/>
    <mergeCell ref="F147:G147"/>
    <mergeCell ref="H147:I147"/>
    <mergeCell ref="J147:K147"/>
    <mergeCell ref="L147:M147"/>
    <mergeCell ref="N145:O145"/>
    <mergeCell ref="B146:C146"/>
    <mergeCell ref="D146:E146"/>
    <mergeCell ref="F146:G146"/>
    <mergeCell ref="H146:I146"/>
    <mergeCell ref="J146:K146"/>
    <mergeCell ref="N147:O147"/>
    <mergeCell ref="D144:E144"/>
    <mergeCell ref="F144:G144"/>
    <mergeCell ref="H144:I144"/>
    <mergeCell ref="J144:K144"/>
    <mergeCell ref="L144:M144"/>
    <mergeCell ref="N144:O144"/>
    <mergeCell ref="L146:M146"/>
    <mergeCell ref="N146:O146"/>
    <mergeCell ref="B145:C145"/>
    <mergeCell ref="D145:E145"/>
    <mergeCell ref="F145:G145"/>
    <mergeCell ref="H145:I145"/>
    <mergeCell ref="J145:K145"/>
    <mergeCell ref="L145:M145"/>
    <mergeCell ref="A136:A138"/>
    <mergeCell ref="E136:E138"/>
    <mergeCell ref="G136:G138"/>
    <mergeCell ref="I136:I138"/>
    <mergeCell ref="K136:K138"/>
    <mergeCell ref="M136:M138"/>
    <mergeCell ref="N143:O143"/>
    <mergeCell ref="O136:O138"/>
    <mergeCell ref="R136:R138"/>
    <mergeCell ref="D142:E142"/>
    <mergeCell ref="F142:G142"/>
    <mergeCell ref="H142:I142"/>
    <mergeCell ref="J142:K142"/>
    <mergeCell ref="L142:M142"/>
    <mergeCell ref="N142:O142"/>
    <mergeCell ref="D143:E143"/>
    <mergeCell ref="F143:G143"/>
    <mergeCell ref="H143:I143"/>
    <mergeCell ref="J143:K143"/>
    <mergeCell ref="L143:M143"/>
    <mergeCell ref="A130:A132"/>
    <mergeCell ref="E130:E132"/>
    <mergeCell ref="G130:G132"/>
    <mergeCell ref="I130:I132"/>
    <mergeCell ref="K130:K132"/>
    <mergeCell ref="M130:M132"/>
    <mergeCell ref="O130:O132"/>
    <mergeCell ref="R130:R132"/>
    <mergeCell ref="A133:A135"/>
    <mergeCell ref="E133:E135"/>
    <mergeCell ref="G133:G135"/>
    <mergeCell ref="I133:I135"/>
    <mergeCell ref="K133:K135"/>
    <mergeCell ref="M133:M135"/>
    <mergeCell ref="O133:O135"/>
    <mergeCell ref="R133:R135"/>
    <mergeCell ref="P121:R121"/>
    <mergeCell ref="D125:E125"/>
    <mergeCell ref="F125:G125"/>
    <mergeCell ref="H125:I125"/>
    <mergeCell ref="J125:K125"/>
    <mergeCell ref="L125:M125"/>
    <mergeCell ref="N125:O125"/>
    <mergeCell ref="A127:A129"/>
    <mergeCell ref="E127:E129"/>
    <mergeCell ref="G127:G129"/>
    <mergeCell ref="I127:I129"/>
    <mergeCell ref="K127:K129"/>
    <mergeCell ref="M127:M129"/>
    <mergeCell ref="O127:O129"/>
    <mergeCell ref="R127:R129"/>
    <mergeCell ref="B117:C117"/>
    <mergeCell ref="D117:E117"/>
    <mergeCell ref="F117:G117"/>
    <mergeCell ref="H117:I117"/>
    <mergeCell ref="J117:K117"/>
    <mergeCell ref="L117:M117"/>
    <mergeCell ref="J119:K119"/>
    <mergeCell ref="L119:M119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N119:O119"/>
    <mergeCell ref="B119:C119"/>
    <mergeCell ref="D119:E119"/>
    <mergeCell ref="F119:G119"/>
    <mergeCell ref="H119:I119"/>
    <mergeCell ref="F113:G113"/>
    <mergeCell ref="H113:I113"/>
    <mergeCell ref="J113:K113"/>
    <mergeCell ref="L113:M113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5:C115"/>
    <mergeCell ref="D115:E115"/>
    <mergeCell ref="F115:G115"/>
    <mergeCell ref="H115:I115"/>
    <mergeCell ref="J115:K115"/>
    <mergeCell ref="L115:M115"/>
    <mergeCell ref="N113:O113"/>
    <mergeCell ref="N114:O114"/>
    <mergeCell ref="U113:V113"/>
    <mergeCell ref="W113:X113"/>
    <mergeCell ref="A106:A108"/>
    <mergeCell ref="E106:E108"/>
    <mergeCell ref="G106:G108"/>
    <mergeCell ref="I106:I108"/>
    <mergeCell ref="K106:K108"/>
    <mergeCell ref="M106:M108"/>
    <mergeCell ref="O106:O108"/>
    <mergeCell ref="R106:R108"/>
    <mergeCell ref="D112:E112"/>
    <mergeCell ref="F112:G112"/>
    <mergeCell ref="H112:I112"/>
    <mergeCell ref="J112:K112"/>
    <mergeCell ref="L112:M112"/>
    <mergeCell ref="N112:O112"/>
    <mergeCell ref="D114:E114"/>
    <mergeCell ref="F114:G114"/>
    <mergeCell ref="H114:I114"/>
    <mergeCell ref="J114:K114"/>
    <mergeCell ref="L114:M114"/>
    <mergeCell ref="D113:E113"/>
    <mergeCell ref="A100:A102"/>
    <mergeCell ref="E100:E102"/>
    <mergeCell ref="G100:G102"/>
    <mergeCell ref="I100:I102"/>
    <mergeCell ref="K100:K102"/>
    <mergeCell ref="M100:M102"/>
    <mergeCell ref="O100:O102"/>
    <mergeCell ref="R100:R102"/>
    <mergeCell ref="A103:A105"/>
    <mergeCell ref="E103:E105"/>
    <mergeCell ref="G103:G105"/>
    <mergeCell ref="I103:I105"/>
    <mergeCell ref="K103:K105"/>
    <mergeCell ref="M103:M105"/>
    <mergeCell ref="O103:O105"/>
    <mergeCell ref="R103:R105"/>
    <mergeCell ref="P91:R91"/>
    <mergeCell ref="D95:E95"/>
    <mergeCell ref="F95:G95"/>
    <mergeCell ref="H95:I95"/>
    <mergeCell ref="J95:K95"/>
    <mergeCell ref="L95:M95"/>
    <mergeCell ref="N95:O95"/>
    <mergeCell ref="A97:A99"/>
    <mergeCell ref="E97:E99"/>
    <mergeCell ref="G97:G99"/>
    <mergeCell ref="I97:I99"/>
    <mergeCell ref="K97:K99"/>
    <mergeCell ref="M97:M99"/>
    <mergeCell ref="O97:O99"/>
    <mergeCell ref="R97:R99"/>
    <mergeCell ref="N84:O84"/>
    <mergeCell ref="B87:C87"/>
    <mergeCell ref="D87:E87"/>
    <mergeCell ref="F87:G87"/>
    <mergeCell ref="H87:I87"/>
    <mergeCell ref="J87:K87"/>
    <mergeCell ref="L87:M87"/>
    <mergeCell ref="J89:K89"/>
    <mergeCell ref="L89:M89"/>
    <mergeCell ref="N87:O87"/>
    <mergeCell ref="B88:C88"/>
    <mergeCell ref="D88:E88"/>
    <mergeCell ref="F88:G88"/>
    <mergeCell ref="H88:I88"/>
    <mergeCell ref="J88:K88"/>
    <mergeCell ref="L88:M88"/>
    <mergeCell ref="N88:O88"/>
    <mergeCell ref="N89:O89"/>
    <mergeCell ref="B89:C89"/>
    <mergeCell ref="D89:E89"/>
    <mergeCell ref="F89:G89"/>
    <mergeCell ref="H89:I89"/>
    <mergeCell ref="N85:O85"/>
    <mergeCell ref="B86:C86"/>
    <mergeCell ref="D86:E86"/>
    <mergeCell ref="F86:G86"/>
    <mergeCell ref="H86:I86"/>
    <mergeCell ref="J86:K86"/>
    <mergeCell ref="L86:M86"/>
    <mergeCell ref="N86:O86"/>
    <mergeCell ref="B85:C85"/>
    <mergeCell ref="D85:E85"/>
    <mergeCell ref="F85:G85"/>
    <mergeCell ref="H85:I85"/>
    <mergeCell ref="J85:K85"/>
    <mergeCell ref="L85:M85"/>
    <mergeCell ref="D84:E84"/>
    <mergeCell ref="F84:G84"/>
    <mergeCell ref="H84:I84"/>
    <mergeCell ref="J84:K84"/>
    <mergeCell ref="L84:M84"/>
    <mergeCell ref="D82:E82"/>
    <mergeCell ref="F82:G82"/>
    <mergeCell ref="H82:I82"/>
    <mergeCell ref="J82:K82"/>
    <mergeCell ref="L82:M82"/>
    <mergeCell ref="N82:O82"/>
    <mergeCell ref="D83:E83"/>
    <mergeCell ref="F83:G83"/>
    <mergeCell ref="H83:I83"/>
    <mergeCell ref="J83:K83"/>
    <mergeCell ref="L83:M83"/>
    <mergeCell ref="N83:O83"/>
    <mergeCell ref="A73:A75"/>
    <mergeCell ref="E73:E75"/>
    <mergeCell ref="G73:G75"/>
    <mergeCell ref="I73:I75"/>
    <mergeCell ref="K73:K75"/>
    <mergeCell ref="M73:M75"/>
    <mergeCell ref="O73:O75"/>
    <mergeCell ref="R73:R75"/>
    <mergeCell ref="A76:A78"/>
    <mergeCell ref="E76:E78"/>
    <mergeCell ref="G76:G78"/>
    <mergeCell ref="I76:I78"/>
    <mergeCell ref="K76:K78"/>
    <mergeCell ref="M76:M78"/>
    <mergeCell ref="O76:O78"/>
    <mergeCell ref="R76:R78"/>
    <mergeCell ref="R67:R69"/>
    <mergeCell ref="A70:A72"/>
    <mergeCell ref="E70:E72"/>
    <mergeCell ref="G70:G72"/>
    <mergeCell ref="I70:I72"/>
    <mergeCell ref="K70:K72"/>
    <mergeCell ref="M70:M72"/>
    <mergeCell ref="O70:O72"/>
    <mergeCell ref="R70:R72"/>
    <mergeCell ref="D65:E65"/>
    <mergeCell ref="F65:G65"/>
    <mergeCell ref="H65:I65"/>
    <mergeCell ref="J65:K65"/>
    <mergeCell ref="L65:M65"/>
    <mergeCell ref="N65:O65"/>
    <mergeCell ref="A67:A69"/>
    <mergeCell ref="E67:E69"/>
    <mergeCell ref="G67:G69"/>
    <mergeCell ref="I67:I69"/>
    <mergeCell ref="K67:K69"/>
    <mergeCell ref="M67:M69"/>
    <mergeCell ref="O67:O69"/>
    <mergeCell ref="J59:K59"/>
    <mergeCell ref="L59:M59"/>
    <mergeCell ref="N57:O57"/>
    <mergeCell ref="B58:C58"/>
    <mergeCell ref="D58:E58"/>
    <mergeCell ref="F58:G58"/>
    <mergeCell ref="H58:I58"/>
    <mergeCell ref="J58:K58"/>
    <mergeCell ref="L58:M58"/>
    <mergeCell ref="N58:O58"/>
    <mergeCell ref="N59:O59"/>
    <mergeCell ref="B59:C59"/>
    <mergeCell ref="D59:E59"/>
    <mergeCell ref="F59:G59"/>
    <mergeCell ref="H59:I59"/>
    <mergeCell ref="N56:O56"/>
    <mergeCell ref="B55:C55"/>
    <mergeCell ref="D55:E55"/>
    <mergeCell ref="F55:G55"/>
    <mergeCell ref="H55:I55"/>
    <mergeCell ref="J55:K55"/>
    <mergeCell ref="L55:M55"/>
    <mergeCell ref="B57:C57"/>
    <mergeCell ref="D57:E57"/>
    <mergeCell ref="F57:G57"/>
    <mergeCell ref="H57:I57"/>
    <mergeCell ref="J57:K57"/>
    <mergeCell ref="L57:M57"/>
    <mergeCell ref="F53:G53"/>
    <mergeCell ref="H53:I53"/>
    <mergeCell ref="J53:K53"/>
    <mergeCell ref="L53:M53"/>
    <mergeCell ref="B56:C56"/>
    <mergeCell ref="D56:E56"/>
    <mergeCell ref="F56:G56"/>
    <mergeCell ref="H56:I56"/>
    <mergeCell ref="J56:K56"/>
    <mergeCell ref="L56:M56"/>
    <mergeCell ref="N53:O53"/>
    <mergeCell ref="N54:O54"/>
    <mergeCell ref="U53:V53"/>
    <mergeCell ref="W53:X53"/>
    <mergeCell ref="A46:A48"/>
    <mergeCell ref="E46:E48"/>
    <mergeCell ref="G46:G48"/>
    <mergeCell ref="I46:I48"/>
    <mergeCell ref="K46:K48"/>
    <mergeCell ref="M46:M48"/>
    <mergeCell ref="O46:O48"/>
    <mergeCell ref="R46:R48"/>
    <mergeCell ref="D52:E52"/>
    <mergeCell ref="F52:G52"/>
    <mergeCell ref="H52:I52"/>
    <mergeCell ref="J52:K52"/>
    <mergeCell ref="L52:M52"/>
    <mergeCell ref="N52:O52"/>
    <mergeCell ref="D54:E54"/>
    <mergeCell ref="F54:G54"/>
    <mergeCell ref="H54:I54"/>
    <mergeCell ref="J54:K54"/>
    <mergeCell ref="L54:M54"/>
    <mergeCell ref="D53:E53"/>
    <mergeCell ref="A40:A42"/>
    <mergeCell ref="E40:E42"/>
    <mergeCell ref="G40:G42"/>
    <mergeCell ref="I40:I42"/>
    <mergeCell ref="K40:K42"/>
    <mergeCell ref="M40:M42"/>
    <mergeCell ref="O40:O42"/>
    <mergeCell ref="R40:R42"/>
    <mergeCell ref="A43:A45"/>
    <mergeCell ref="E43:E45"/>
    <mergeCell ref="G43:G45"/>
    <mergeCell ref="I43:I45"/>
    <mergeCell ref="K43:K45"/>
    <mergeCell ref="M43:M45"/>
    <mergeCell ref="O43:O45"/>
    <mergeCell ref="R43:R45"/>
    <mergeCell ref="D35:E35"/>
    <mergeCell ref="F35:G35"/>
    <mergeCell ref="H35:I35"/>
    <mergeCell ref="J35:K35"/>
    <mergeCell ref="L35:M35"/>
    <mergeCell ref="N35:O35"/>
    <mergeCell ref="A37:A39"/>
    <mergeCell ref="E37:E39"/>
    <mergeCell ref="G37:G39"/>
    <mergeCell ref="I37:I39"/>
    <mergeCell ref="K37:K39"/>
    <mergeCell ref="M37:M39"/>
    <mergeCell ref="O37:O39"/>
    <mergeCell ref="B27:C27"/>
    <mergeCell ref="D27:E27"/>
    <mergeCell ref="F27:G27"/>
    <mergeCell ref="H27:I27"/>
    <mergeCell ref="J27:K27"/>
    <mergeCell ref="L27:M27"/>
    <mergeCell ref="J29:K29"/>
    <mergeCell ref="L29:M29"/>
    <mergeCell ref="N27:O27"/>
    <mergeCell ref="B28:C28"/>
    <mergeCell ref="D28:E28"/>
    <mergeCell ref="F28:G28"/>
    <mergeCell ref="H28:I28"/>
    <mergeCell ref="J28:K28"/>
    <mergeCell ref="L28:M28"/>
    <mergeCell ref="N28:O28"/>
    <mergeCell ref="N29:O29"/>
    <mergeCell ref="B29:C29"/>
    <mergeCell ref="D29:E29"/>
    <mergeCell ref="F29:G29"/>
    <mergeCell ref="H29:I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D24:E24"/>
    <mergeCell ref="F24:G24"/>
    <mergeCell ref="H24:I24"/>
    <mergeCell ref="J24:K24"/>
    <mergeCell ref="L24:M24"/>
    <mergeCell ref="A13:A15"/>
    <mergeCell ref="E13:E15"/>
    <mergeCell ref="G13:G15"/>
    <mergeCell ref="I13:I15"/>
    <mergeCell ref="K13:K15"/>
    <mergeCell ref="M13:M15"/>
    <mergeCell ref="D22:E22"/>
    <mergeCell ref="F22:G22"/>
    <mergeCell ref="H22:I22"/>
    <mergeCell ref="J22:K22"/>
    <mergeCell ref="L22:M22"/>
    <mergeCell ref="O13:O15"/>
    <mergeCell ref="R13:R15"/>
    <mergeCell ref="A16:A18"/>
    <mergeCell ref="E16:E18"/>
    <mergeCell ref="G16:G18"/>
    <mergeCell ref="I16:I18"/>
    <mergeCell ref="K16:K18"/>
    <mergeCell ref="M16:M18"/>
    <mergeCell ref="O16:O18"/>
    <mergeCell ref="R16:R18"/>
    <mergeCell ref="N5:O5"/>
    <mergeCell ref="O7:O9"/>
    <mergeCell ref="R7:R9"/>
    <mergeCell ref="O10:O12"/>
    <mergeCell ref="R10:R12"/>
    <mergeCell ref="A7:A9"/>
    <mergeCell ref="E7:E9"/>
    <mergeCell ref="G7:G9"/>
    <mergeCell ref="I7:I9"/>
    <mergeCell ref="K7:K9"/>
    <mergeCell ref="M7:M9"/>
    <mergeCell ref="A10:A12"/>
    <mergeCell ref="E10:E12"/>
    <mergeCell ref="G10:G12"/>
    <mergeCell ref="I10:I12"/>
    <mergeCell ref="K10:K12"/>
    <mergeCell ref="M10:M12"/>
    <mergeCell ref="N22:O22"/>
    <mergeCell ref="D23:E23"/>
    <mergeCell ref="F23:G23"/>
    <mergeCell ref="H23:I23"/>
    <mergeCell ref="J23:K23"/>
    <mergeCell ref="L23:M23"/>
    <mergeCell ref="N23:O23"/>
    <mergeCell ref="N24:O24"/>
    <mergeCell ref="AD1:AF1"/>
    <mergeCell ref="W22:X22"/>
    <mergeCell ref="Y22:Z22"/>
    <mergeCell ref="AA22:AB22"/>
    <mergeCell ref="AC22:AD22"/>
    <mergeCell ref="U5:V5"/>
    <mergeCell ref="W5:X5"/>
    <mergeCell ref="Y5:Z5"/>
    <mergeCell ref="AA5:AB5"/>
    <mergeCell ref="AC5:AD5"/>
    <mergeCell ref="AE5:AF5"/>
    <mergeCell ref="D5:E5"/>
    <mergeCell ref="F5:G5"/>
    <mergeCell ref="H5:I5"/>
    <mergeCell ref="J5:K5"/>
    <mergeCell ref="L5:M5"/>
    <mergeCell ref="AD31:AF31"/>
    <mergeCell ref="AD61:AF61"/>
    <mergeCell ref="AD91:AF91"/>
    <mergeCell ref="AD121:AF121"/>
    <mergeCell ref="M1:O1"/>
    <mergeCell ref="M31:O31"/>
    <mergeCell ref="M61:O61"/>
    <mergeCell ref="M91:O91"/>
    <mergeCell ref="M121:O121"/>
    <mergeCell ref="P1:R1"/>
    <mergeCell ref="U23:V23"/>
    <mergeCell ref="W23:X23"/>
    <mergeCell ref="Y23:Z23"/>
    <mergeCell ref="AA23:AB23"/>
    <mergeCell ref="AC23:AD23"/>
    <mergeCell ref="N25:O25"/>
    <mergeCell ref="P31:R31"/>
    <mergeCell ref="R37:R39"/>
    <mergeCell ref="Y53:Z53"/>
    <mergeCell ref="AA53:AB53"/>
    <mergeCell ref="AC53:AD53"/>
    <mergeCell ref="N55:O55"/>
    <mergeCell ref="P61:R61"/>
    <mergeCell ref="U22:V22"/>
    <mergeCell ref="U25:V25"/>
    <mergeCell ref="W25:X25"/>
    <mergeCell ref="Y25:Z25"/>
    <mergeCell ref="AA25:AB25"/>
    <mergeCell ref="AC25:AD25"/>
    <mergeCell ref="U26:V26"/>
    <mergeCell ref="W26:X26"/>
    <mergeCell ref="Y26:Z26"/>
    <mergeCell ref="AA26:AB26"/>
    <mergeCell ref="AC26:AD26"/>
    <mergeCell ref="U27:V27"/>
    <mergeCell ref="W27:X27"/>
    <mergeCell ref="Y27:Z27"/>
    <mergeCell ref="AA27:AB27"/>
    <mergeCell ref="AC27:AD27"/>
    <mergeCell ref="U28:V28"/>
    <mergeCell ref="W28:X28"/>
    <mergeCell ref="Y28:Z28"/>
    <mergeCell ref="AA28:AB28"/>
    <mergeCell ref="AC28:AD28"/>
    <mergeCell ref="U29:V29"/>
    <mergeCell ref="W29:X29"/>
    <mergeCell ref="Y29:Z29"/>
    <mergeCell ref="AA29:AB29"/>
    <mergeCell ref="AC29:AD29"/>
    <mergeCell ref="Y56:Z56"/>
    <mergeCell ref="AA56:AB56"/>
    <mergeCell ref="AC56:AD56"/>
    <mergeCell ref="U57:V57"/>
    <mergeCell ref="W57:X57"/>
    <mergeCell ref="Y57:Z57"/>
    <mergeCell ref="AA57:AB57"/>
    <mergeCell ref="AC57:AD57"/>
    <mergeCell ref="U52:V52"/>
    <mergeCell ref="W52:X52"/>
    <mergeCell ref="Y52:Z52"/>
    <mergeCell ref="AA52:AB52"/>
    <mergeCell ref="AC52:AD52"/>
    <mergeCell ref="U55:V55"/>
    <mergeCell ref="W55:X55"/>
    <mergeCell ref="Y55:Z55"/>
    <mergeCell ref="AA55:AB55"/>
    <mergeCell ref="AC55:AD55"/>
    <mergeCell ref="U35:V35"/>
    <mergeCell ref="U87:V87"/>
    <mergeCell ref="W87:X87"/>
    <mergeCell ref="Y87:Z87"/>
    <mergeCell ref="AA87:AB87"/>
    <mergeCell ref="AC87:AD87"/>
    <mergeCell ref="U82:V82"/>
    <mergeCell ref="W82:X82"/>
    <mergeCell ref="Y82:Z82"/>
    <mergeCell ref="AA82:AB82"/>
    <mergeCell ref="AC82:AD82"/>
    <mergeCell ref="U85:V85"/>
    <mergeCell ref="W85:X85"/>
    <mergeCell ref="Y85:Z85"/>
    <mergeCell ref="AA85:AB85"/>
    <mergeCell ref="AC85:AD85"/>
    <mergeCell ref="U83:V83"/>
    <mergeCell ref="W83:X83"/>
    <mergeCell ref="Y83:Z83"/>
    <mergeCell ref="AA83:AB83"/>
    <mergeCell ref="AC83:AD83"/>
    <mergeCell ref="AA143:AB143"/>
    <mergeCell ref="AC143:AD143"/>
    <mergeCell ref="U119:V119"/>
    <mergeCell ref="W119:X119"/>
    <mergeCell ref="Y119:Z119"/>
    <mergeCell ref="AA119:AB119"/>
    <mergeCell ref="AC119:AD119"/>
    <mergeCell ref="U116:V116"/>
    <mergeCell ref="W116:X116"/>
    <mergeCell ref="Y116:Z116"/>
    <mergeCell ref="AA116:AB116"/>
    <mergeCell ref="AC116:AD116"/>
    <mergeCell ref="U117:V117"/>
    <mergeCell ref="W117:X117"/>
    <mergeCell ref="Y117:Z117"/>
    <mergeCell ref="AA117:AB117"/>
    <mergeCell ref="AC117:AD117"/>
    <mergeCell ref="U179:V179"/>
    <mergeCell ref="W179:X179"/>
    <mergeCell ref="Y179:Z179"/>
    <mergeCell ref="AA179:AB179"/>
    <mergeCell ref="AC179:AD179"/>
    <mergeCell ref="U176:V176"/>
    <mergeCell ref="W176:X176"/>
    <mergeCell ref="Y176:Z176"/>
    <mergeCell ref="AA176:AB176"/>
    <mergeCell ref="AC176:AD176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  <mergeCell ref="U172:V172"/>
    <mergeCell ref="W172:X172"/>
    <mergeCell ref="Y172:Z172"/>
    <mergeCell ref="AA172:AB172"/>
    <mergeCell ref="AC172:AD172"/>
    <mergeCell ref="U175:V175"/>
    <mergeCell ref="W175:X175"/>
    <mergeCell ref="Y175:Z175"/>
    <mergeCell ref="AA175:AB175"/>
    <mergeCell ref="AC175:AD175"/>
    <mergeCell ref="U173:V173"/>
    <mergeCell ref="W173:X173"/>
    <mergeCell ref="Y173:Z173"/>
    <mergeCell ref="AA173:AB173"/>
    <mergeCell ref="AC173:AD173"/>
    <mergeCell ref="AE65:AF65"/>
    <mergeCell ref="AE95:AF95"/>
    <mergeCell ref="U118:V118"/>
    <mergeCell ref="W118:X118"/>
    <mergeCell ref="Y118:Z118"/>
    <mergeCell ref="AA118:AB118"/>
    <mergeCell ref="AC118:AD118"/>
    <mergeCell ref="U112:V112"/>
    <mergeCell ref="W112:X112"/>
    <mergeCell ref="Y112:Z112"/>
    <mergeCell ref="AA112:AB112"/>
    <mergeCell ref="AC112:AD112"/>
    <mergeCell ref="U115:V115"/>
    <mergeCell ref="W115:X115"/>
    <mergeCell ref="Y115:Z115"/>
    <mergeCell ref="AA115:AB115"/>
    <mergeCell ref="U88:V88"/>
    <mergeCell ref="W88:X88"/>
    <mergeCell ref="Y88:Z88"/>
    <mergeCell ref="AA88:AB88"/>
    <mergeCell ref="AC88:AD88"/>
    <mergeCell ref="U89:V89"/>
    <mergeCell ref="W89:X89"/>
    <mergeCell ref="Y89:Z89"/>
    <mergeCell ref="W35:X35"/>
    <mergeCell ref="Y35:Z35"/>
    <mergeCell ref="AA35:AB35"/>
    <mergeCell ref="AC35:AD35"/>
    <mergeCell ref="AE35:AF35"/>
    <mergeCell ref="U58:V58"/>
    <mergeCell ref="W58:X58"/>
    <mergeCell ref="Y58:Z58"/>
    <mergeCell ref="AA58:AB58"/>
    <mergeCell ref="AC58:AD58"/>
    <mergeCell ref="U59:V59"/>
    <mergeCell ref="W59:X59"/>
    <mergeCell ref="Y59:Z59"/>
    <mergeCell ref="AA59:AB59"/>
    <mergeCell ref="AC59:AD59"/>
    <mergeCell ref="U56:V56"/>
    <mergeCell ref="W56:X56"/>
    <mergeCell ref="U95:V95"/>
    <mergeCell ref="W95:X95"/>
    <mergeCell ref="Y95:Z95"/>
    <mergeCell ref="AA95:AB95"/>
    <mergeCell ref="AC95:AD95"/>
    <mergeCell ref="U65:V65"/>
    <mergeCell ref="W65:X65"/>
    <mergeCell ref="Y65:Z65"/>
    <mergeCell ref="AA65:AB65"/>
    <mergeCell ref="AC65:AD65"/>
    <mergeCell ref="AA89:AB89"/>
    <mergeCell ref="AC89:AD89"/>
    <mergeCell ref="U86:V86"/>
    <mergeCell ref="W86:X86"/>
    <mergeCell ref="Y86:Z86"/>
    <mergeCell ref="AA86:AB86"/>
    <mergeCell ref="AC86:AD86"/>
    <mergeCell ref="AC115:AD115"/>
    <mergeCell ref="Y113:Z113"/>
    <mergeCell ref="AA113:AB113"/>
    <mergeCell ref="AC113:AD113"/>
    <mergeCell ref="W155:X155"/>
    <mergeCell ref="Y155:Z155"/>
    <mergeCell ref="AA155:AB155"/>
    <mergeCell ref="AC155:AD155"/>
    <mergeCell ref="AE155:AF155"/>
    <mergeCell ref="W148:X148"/>
    <mergeCell ref="Y148:Z148"/>
    <mergeCell ref="W147:X147"/>
    <mergeCell ref="Y147:Z147"/>
    <mergeCell ref="AA147:AB147"/>
    <mergeCell ref="AC147:AD147"/>
    <mergeCell ref="W142:X142"/>
    <mergeCell ref="Y142:Z142"/>
    <mergeCell ref="AA142:AB142"/>
    <mergeCell ref="AC142:AD142"/>
    <mergeCell ref="W145:X145"/>
    <mergeCell ref="Y145:Z145"/>
    <mergeCell ref="AA145:AB145"/>
    <mergeCell ref="AC145:AD145"/>
    <mergeCell ref="W143:X143"/>
    <mergeCell ref="U125:V125"/>
    <mergeCell ref="W125:X125"/>
    <mergeCell ref="Y125:Z125"/>
    <mergeCell ref="AA125:AB125"/>
    <mergeCell ref="AC125:AD125"/>
    <mergeCell ref="AE125:AF125"/>
    <mergeCell ref="AA148:AB148"/>
    <mergeCell ref="AC148:AD148"/>
    <mergeCell ref="U149:V149"/>
    <mergeCell ref="W149:X149"/>
    <mergeCell ref="Y149:Z149"/>
    <mergeCell ref="AA149:AB149"/>
    <mergeCell ref="AC149:AD149"/>
    <mergeCell ref="U146:V146"/>
    <mergeCell ref="W146:X146"/>
    <mergeCell ref="Y146:Z146"/>
    <mergeCell ref="AA146:AB146"/>
    <mergeCell ref="AC146:AD146"/>
    <mergeCell ref="U147:V147"/>
    <mergeCell ref="U148:V148"/>
    <mergeCell ref="U142:V142"/>
    <mergeCell ref="U145:V145"/>
    <mergeCell ref="U143:V143"/>
    <mergeCell ref="Y143:Z143"/>
  </mergeCells>
  <dataValidations count="1">
    <dataValidation type="whole" allowBlank="1" showErrorMessage="1" error="Es sind nur Zahlen zwischen -300 und 300 erlaubt!" sqref="U157:AD168 U127:AD138 U37:AD48 U67:AD78 U97:AD108 U7:AD18" xr:uid="{7DB467C9-EF22-48F8-A559-631B643D0C20}">
      <formula1>-300</formula1>
      <formula2>300</formula2>
    </dataValidation>
  </dataValidations>
  <pageMargins left="0.70866141732283472" right="0.70866141732283472" top="0.78740157480314965" bottom="0.35433070866141736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B34E-12FF-4571-9240-56D3B60BE4E2}">
  <sheetPr>
    <tabColor rgb="FFFFFF00"/>
    <pageSetUpPr fitToPage="1"/>
  </sheetPr>
  <dimension ref="A1:AE24"/>
  <sheetViews>
    <sheetView workbookViewId="0">
      <selection activeCell="D85" sqref="D85:M85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16" width="4.42578125" customWidth="1"/>
    <col min="17" max="17" width="11.42578125" customWidth="1"/>
    <col min="18" max="18" width="14.28515625" customWidth="1"/>
    <col min="19" max="26" width="11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51"/>
      <c r="Q1" s="51"/>
      <c r="AA1" s="215" t="s">
        <v>2091</v>
      </c>
    </row>
    <row r="2" spans="1:31" ht="28.5" customHeight="1" x14ac:dyDescent="0.2">
      <c r="A2" s="379" t="str">
        <f>"Saison "&amp;Spielorte!C18&amp;"     -     Spieltag "&amp;Erfassung2!AD2&amp;"     -     "&amp;TEXT(Erfassung2!AD1,"T. MMMM JJJJ")</f>
        <v>Saison 2024/2025     -     Spieltag 2     -     03.11.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</row>
    <row r="3" spans="1:31" ht="28.5" customHeight="1" x14ac:dyDescent="0.2">
      <c r="A3" s="379" t="str">
        <f>+Erfassung2!V2</f>
        <v>Regensburg Super Bowl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</row>
    <row r="4" spans="1:31" ht="28.5" customHeight="1" thickBot="1" x14ac:dyDescent="0.35">
      <c r="A4" s="64"/>
      <c r="B4" s="64"/>
      <c r="C4" s="205"/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INDEX(Erfassung2!$S:$S,MATCH($A7,Erfassung2!$BN:$BN,0)-17)</f>
        <v>Castra Regina Regensburg 3</v>
      </c>
      <c r="C7" s="99">
        <f>INDEX(Erfassung2!U:U,MATCH($A7,Erfassung2!$BN:$BN,0)-1)</f>
        <v>653</v>
      </c>
      <c r="D7" s="100">
        <f>INDEX(Erfassung2!V:V,MATCH($A7,Erfassung2!$BN:$BN,0))</f>
        <v>1</v>
      </c>
      <c r="E7" s="99">
        <f>INDEX(Erfassung2!W:W,MATCH($A7,Erfassung2!$BN:$BN,0)-1)</f>
        <v>766</v>
      </c>
      <c r="F7" s="100">
        <f>INDEX(Erfassung2!X:X,MATCH($A7,Erfassung2!$BN:$BN,0))</f>
        <v>4</v>
      </c>
      <c r="G7" s="99">
        <f>INDEX(Erfassung2!Y:Y,MATCH($A7,Erfassung2!$BN:$BN,0)-1)</f>
        <v>717</v>
      </c>
      <c r="H7" s="100">
        <f>INDEX(Erfassung2!Z:Z,MATCH($A7,Erfassung2!$BN:$BN,0))</f>
        <v>5</v>
      </c>
      <c r="I7" s="99">
        <f>INDEX(Erfassung2!AA:AA,MATCH($A7,Erfassung2!$BN:$BN,0)-1)</f>
        <v>729</v>
      </c>
      <c r="J7" s="100">
        <f>INDEX(Erfassung2!AB:AB,MATCH($A7,Erfassung2!$BN:$BN,0))</f>
        <v>5</v>
      </c>
      <c r="K7" s="99">
        <f>INDEX(Erfassung2!AC:AC,MATCH($A7,Erfassung2!$BN:$BN,0)-1)</f>
        <v>785</v>
      </c>
      <c r="L7" s="100">
        <f>INDEX(Erfassung2!AD:AD,MATCH($A7,Erfassung2!$BN:$BN,0))</f>
        <v>4</v>
      </c>
      <c r="M7" s="101">
        <f t="shared" ref="M7:N12" si="0">SUM(C7+E7+G7+I7+K7)</f>
        <v>3650</v>
      </c>
      <c r="N7" s="102">
        <f t="shared" si="0"/>
        <v>19</v>
      </c>
      <c r="O7" s="76">
        <f>IFERROR(M7/INDEX(Erfassung2!BF:BF,MATCH(A7,Erfassung2!BN:BN,0)),0)</f>
        <v>182.5</v>
      </c>
      <c r="P7" s="122"/>
      <c r="Q7" s="51"/>
      <c r="AA7" s="213">
        <f>INDEX(Tabelle1!M:M,MATCH(B7,Tabelle1!B:B,0))+M7</f>
        <v>7201</v>
      </c>
      <c r="AB7" s="213">
        <f>INDEX(Tabelle1!N:N,MATCH(B7,Tabelle1!B:B,0))+N7</f>
        <v>38</v>
      </c>
      <c r="AC7" s="215">
        <f t="shared" ref="AC7:AC12" si="1">+AB7+AA7/1000000000</f>
        <v>38.000007201000003</v>
      </c>
      <c r="AD7" s="215">
        <f t="shared" ref="AD7:AD12" si="2">RANK(AC7,AC:AC)</f>
        <v>2</v>
      </c>
      <c r="AE7" s="215">
        <f>INDEX(Tabelle1!AE:AE,MATCH(B7,Tabelle1!B:B,0))+SUMIF(Erfassung2!BQ:BQ,B7,Erfassung2!BF:BF)</f>
        <v>40</v>
      </c>
    </row>
    <row r="8" spans="1:31" ht="42" customHeight="1" thickBot="1" x14ac:dyDescent="0.25">
      <c r="A8" s="209">
        <v>2</v>
      </c>
      <c r="B8" s="121" t="str">
        <f>INDEX(Erfassung2!$S:$S,MATCH($A8,Erfassung2!$BN:$BN,0)-17)</f>
        <v>Kings Club Bayreuth Land 3</v>
      </c>
      <c r="C8" s="99">
        <f>INDEX(Erfassung2!U:U,MATCH($A8,Erfassung2!$BN:$BN,0)-1)</f>
        <v>685</v>
      </c>
      <c r="D8" s="100">
        <f>INDEX(Erfassung2!V:V,MATCH($A8,Erfassung2!$BN:$BN,0))</f>
        <v>2</v>
      </c>
      <c r="E8" s="99">
        <f>INDEX(Erfassung2!W:W,MATCH($A8,Erfassung2!$BN:$BN,0)-1)</f>
        <v>688</v>
      </c>
      <c r="F8" s="100">
        <f>INDEX(Erfassung2!X:X,MATCH($A8,Erfassung2!$BN:$BN,0))</f>
        <v>5</v>
      </c>
      <c r="G8" s="99">
        <f>INDEX(Erfassung2!Y:Y,MATCH($A8,Erfassung2!$BN:$BN,0)-1)</f>
        <v>656</v>
      </c>
      <c r="H8" s="100">
        <f>INDEX(Erfassung2!Z:Z,MATCH($A8,Erfassung2!$BN:$BN,0))</f>
        <v>1</v>
      </c>
      <c r="I8" s="99">
        <f>INDEX(Erfassung2!AA:AA,MATCH($A8,Erfassung2!$BN:$BN,0)-1)</f>
        <v>736</v>
      </c>
      <c r="J8" s="100">
        <f>INDEX(Erfassung2!AB:AB,MATCH($A8,Erfassung2!$BN:$BN,0))</f>
        <v>5</v>
      </c>
      <c r="K8" s="99">
        <f>INDEX(Erfassung2!AC:AC,MATCH($A8,Erfassung2!$BN:$BN,0)-1)</f>
        <v>677</v>
      </c>
      <c r="L8" s="100">
        <f>INDEX(Erfassung2!AD:AD,MATCH($A8,Erfassung2!$BN:$BN,0))</f>
        <v>6</v>
      </c>
      <c r="M8" s="101">
        <f t="shared" si="0"/>
        <v>3442</v>
      </c>
      <c r="N8" s="102">
        <f t="shared" si="0"/>
        <v>19</v>
      </c>
      <c r="O8" s="76">
        <f>IFERROR(M8/INDEX(Erfassung2!BF:BF,MATCH(A8,Erfassung2!BN:BN,0)),0)</f>
        <v>172.1</v>
      </c>
      <c r="P8" s="122"/>
      <c r="Q8" s="51"/>
      <c r="AA8" s="213">
        <f>INDEX(Tabelle1!M:M,MATCH(B8,Tabelle1!B:B,0))+M8</f>
        <v>6817</v>
      </c>
      <c r="AB8" s="213">
        <f>INDEX(Tabelle1!N:N,MATCH(B8,Tabelle1!B:B,0))+N8</f>
        <v>26.5</v>
      </c>
      <c r="AC8" s="215">
        <f t="shared" si="1"/>
        <v>26.500006816999999</v>
      </c>
      <c r="AD8" s="215">
        <f t="shared" si="2"/>
        <v>5</v>
      </c>
      <c r="AE8" s="215">
        <f>INDEX(Tabelle1!AE:AE,MATCH(B8,Tabelle1!B:B,0))+SUMIF(Erfassung2!BQ:BQ,B8,Erfassung2!BF:BF)</f>
        <v>40</v>
      </c>
    </row>
    <row r="9" spans="1:31" ht="42" customHeight="1" thickBot="1" x14ac:dyDescent="0.25">
      <c r="A9" s="209">
        <v>3</v>
      </c>
      <c r="B9" s="121" t="str">
        <f>INDEX(Erfassung2!$S:$S,MATCH($A9,Erfassung2!$BN:$BN,0)-17)</f>
        <v>Herzogenaurach 1</v>
      </c>
      <c r="C9" s="99">
        <f>INDEX(Erfassung2!U:U,MATCH($A9,Erfassung2!$BN:$BN,0)-1)</f>
        <v>694</v>
      </c>
      <c r="D9" s="100">
        <f>INDEX(Erfassung2!V:V,MATCH($A9,Erfassung2!$BN:$BN,0))</f>
        <v>3</v>
      </c>
      <c r="E9" s="99">
        <f>INDEX(Erfassung2!W:W,MATCH($A9,Erfassung2!$BN:$BN,0)-1)</f>
        <v>735</v>
      </c>
      <c r="F9" s="100">
        <f>INDEX(Erfassung2!X:X,MATCH($A9,Erfassung2!$BN:$BN,0))</f>
        <v>2</v>
      </c>
      <c r="G9" s="99">
        <f>INDEX(Erfassung2!Y:Y,MATCH($A9,Erfassung2!$BN:$BN,0)-1)</f>
        <v>685</v>
      </c>
      <c r="H9" s="100">
        <f>INDEX(Erfassung2!Z:Z,MATCH($A9,Erfassung2!$BN:$BN,0))</f>
        <v>5</v>
      </c>
      <c r="I9" s="99">
        <f>INDEX(Erfassung2!AA:AA,MATCH($A9,Erfassung2!$BN:$BN,0)-1)</f>
        <v>675</v>
      </c>
      <c r="J9" s="100">
        <f>INDEX(Erfassung2!AB:AB,MATCH($A9,Erfassung2!$BN:$BN,0))</f>
        <v>1</v>
      </c>
      <c r="K9" s="99">
        <f>INDEX(Erfassung2!AC:AC,MATCH($A9,Erfassung2!$BN:$BN,0)-1)</f>
        <v>791</v>
      </c>
      <c r="L9" s="100">
        <f>INDEX(Erfassung2!AD:AD,MATCH($A9,Erfassung2!$BN:$BN,0))</f>
        <v>6</v>
      </c>
      <c r="M9" s="101">
        <f t="shared" si="0"/>
        <v>3580</v>
      </c>
      <c r="N9" s="102">
        <f t="shared" si="0"/>
        <v>17</v>
      </c>
      <c r="O9" s="76">
        <f>IFERROR(M9/INDEX(Erfassung2!BF:BF,MATCH(A9,Erfassung2!BN:BN,0)),0)</f>
        <v>179</v>
      </c>
      <c r="P9" s="122"/>
      <c r="Q9" s="51"/>
      <c r="AA9" s="213">
        <f>INDEX(Tabelle1!M:M,MATCH(B9,Tabelle1!B:B,0))+M9</f>
        <v>7125</v>
      </c>
      <c r="AB9" s="213">
        <f>INDEX(Tabelle1!N:N,MATCH(B9,Tabelle1!B:B,0))+N9</f>
        <v>29</v>
      </c>
      <c r="AC9" s="215">
        <f t="shared" si="1"/>
        <v>29.000007125</v>
      </c>
      <c r="AD9" s="215">
        <f t="shared" si="2"/>
        <v>4</v>
      </c>
      <c r="AE9" s="215">
        <f>INDEX(Tabelle1!AE:AE,MATCH(B9,Tabelle1!B:B,0))+SUMIF(Erfassung2!BQ:BQ,B9,Erfassung2!BF:BF)</f>
        <v>40</v>
      </c>
    </row>
    <row r="10" spans="1:31" ht="42" customHeight="1" thickBot="1" x14ac:dyDescent="0.25">
      <c r="A10" s="209">
        <v>4</v>
      </c>
      <c r="B10" s="121" t="str">
        <f>INDEX(Erfassung2!$S:$S,MATCH($A10,Erfassung2!$BN:$BN,0)-17)</f>
        <v>Adler Nürnberg 1</v>
      </c>
      <c r="C10" s="99">
        <f>INDEX(Erfassung2!U:U,MATCH($A10,Erfassung2!$BN:$BN,0)-1)</f>
        <v>679</v>
      </c>
      <c r="D10" s="100">
        <f>INDEX(Erfassung2!V:V,MATCH($A10,Erfassung2!$BN:$BN,0))</f>
        <v>5</v>
      </c>
      <c r="E10" s="99">
        <f>INDEX(Erfassung2!W:W,MATCH($A10,Erfassung2!$BN:$BN,0)-1)</f>
        <v>670</v>
      </c>
      <c r="F10" s="100">
        <f>INDEX(Erfassung2!X:X,MATCH($A10,Erfassung2!$BN:$BN,0))</f>
        <v>4</v>
      </c>
      <c r="G10" s="99">
        <f>INDEX(Erfassung2!Y:Y,MATCH($A10,Erfassung2!$BN:$BN,0)-1)</f>
        <v>650</v>
      </c>
      <c r="H10" s="100">
        <f>INDEX(Erfassung2!Z:Z,MATCH($A10,Erfassung2!$BN:$BN,0))</f>
        <v>1</v>
      </c>
      <c r="I10" s="99">
        <f>INDEX(Erfassung2!AA:AA,MATCH($A10,Erfassung2!$BN:$BN,0)-1)</f>
        <v>747</v>
      </c>
      <c r="J10" s="100">
        <f>INDEX(Erfassung2!AB:AB,MATCH($A10,Erfassung2!$BN:$BN,0))</f>
        <v>5</v>
      </c>
      <c r="K10" s="99">
        <f>INDEX(Erfassung2!AC:AC,MATCH($A10,Erfassung2!$BN:$BN,0)-1)</f>
        <v>596</v>
      </c>
      <c r="L10" s="100">
        <f>INDEX(Erfassung2!AD:AD,MATCH($A10,Erfassung2!$BN:$BN,0))</f>
        <v>0</v>
      </c>
      <c r="M10" s="101">
        <f t="shared" si="0"/>
        <v>3342</v>
      </c>
      <c r="N10" s="102">
        <f t="shared" si="0"/>
        <v>15</v>
      </c>
      <c r="O10" s="76">
        <f>IFERROR(M10/INDEX(Erfassung2!BF:BF,MATCH(A10,Erfassung2!BN:BN,0)),0)</f>
        <v>167.1</v>
      </c>
      <c r="P10" s="122"/>
      <c r="Q10" s="51"/>
      <c r="AA10" s="213">
        <f>INDEX(Tabelle1!M:M,MATCH(B10,Tabelle1!B:B,0))+M10</f>
        <v>6796</v>
      </c>
      <c r="AB10" s="213">
        <f>INDEX(Tabelle1!N:N,MATCH(B10,Tabelle1!B:B,0))+N10</f>
        <v>32.5</v>
      </c>
      <c r="AC10" s="215">
        <f t="shared" si="1"/>
        <v>32.500006796000001</v>
      </c>
      <c r="AD10" s="215">
        <f t="shared" si="2"/>
        <v>3</v>
      </c>
      <c r="AE10" s="215">
        <f>INDEX(Tabelle1!AE:AE,MATCH(B10,Tabelle1!B:B,0))+SUMIF(Erfassung2!BQ:BQ,B10,Erfassung2!BF:BF)</f>
        <v>40</v>
      </c>
    </row>
    <row r="11" spans="1:31" ht="42" customHeight="1" thickBot="1" x14ac:dyDescent="0.25">
      <c r="A11" s="209">
        <v>5</v>
      </c>
      <c r="B11" s="121" t="str">
        <f>INDEX(Erfassung2!$S:$S,MATCH($A11,Erfassung2!$BN:$BN,0)-17)</f>
        <v>Castra Regina Regensburg 2</v>
      </c>
      <c r="C11" s="99">
        <f>INDEX(Erfassung2!U:U,MATCH($A11,Erfassung2!$BN:$BN,0)-1)</f>
        <v>687</v>
      </c>
      <c r="D11" s="100">
        <f>INDEX(Erfassung2!V:V,MATCH($A11,Erfassung2!$BN:$BN,0))</f>
        <v>4</v>
      </c>
      <c r="E11" s="99">
        <f>INDEX(Erfassung2!W:W,MATCH($A11,Erfassung2!$BN:$BN,0)-1)</f>
        <v>635</v>
      </c>
      <c r="F11" s="100">
        <f>INDEX(Erfassung2!X:X,MATCH($A11,Erfassung2!$BN:$BN,0))</f>
        <v>2</v>
      </c>
      <c r="G11" s="99">
        <f>INDEX(Erfassung2!Y:Y,MATCH($A11,Erfassung2!$BN:$BN,0)-1)</f>
        <v>741</v>
      </c>
      <c r="H11" s="100">
        <f>INDEX(Erfassung2!Z:Z,MATCH($A11,Erfassung2!$BN:$BN,0))</f>
        <v>5</v>
      </c>
      <c r="I11" s="99">
        <f>INDEX(Erfassung2!AA:AA,MATCH($A11,Erfassung2!$BN:$BN,0)-1)</f>
        <v>697</v>
      </c>
      <c r="J11" s="100">
        <f>INDEX(Erfassung2!AB:AB,MATCH($A11,Erfassung2!$BN:$BN,0))</f>
        <v>1</v>
      </c>
      <c r="K11" s="99">
        <f>INDEX(Erfassung2!AC:AC,MATCH($A11,Erfassung2!$BN:$BN,0)-1)</f>
        <v>701</v>
      </c>
      <c r="L11" s="100">
        <f>INDEX(Erfassung2!AD:AD,MATCH($A11,Erfassung2!$BN:$BN,0))</f>
        <v>0</v>
      </c>
      <c r="M11" s="101">
        <f t="shared" si="0"/>
        <v>3461</v>
      </c>
      <c r="N11" s="102">
        <f t="shared" si="0"/>
        <v>12</v>
      </c>
      <c r="O11" s="76">
        <f>IFERROR(M11/INDEX(Erfassung2!BF:BF,MATCH(A11,Erfassung2!BN:BN,0)),0)</f>
        <v>173.05</v>
      </c>
      <c r="P11" s="122"/>
      <c r="Q11" s="51"/>
      <c r="AA11" s="213">
        <f>INDEX(Tabelle1!M:M,MATCH(B11,Tabelle1!B:B,0))+M11</f>
        <v>7400</v>
      </c>
      <c r="AB11" s="213">
        <f>INDEX(Tabelle1!N:N,MATCH(B11,Tabelle1!B:B,0))+N11</f>
        <v>38</v>
      </c>
      <c r="AC11" s="215">
        <f t="shared" si="1"/>
        <v>38.000007400000001</v>
      </c>
      <c r="AD11" s="215">
        <f t="shared" si="2"/>
        <v>1</v>
      </c>
      <c r="AE11" s="215">
        <f>INDEX(Tabelle1!AE:AE,MATCH(B11,Tabelle1!B:B,0))+SUMIF(Erfassung2!BQ:BQ,B11,Erfassung2!BF:BF)</f>
        <v>40</v>
      </c>
    </row>
    <row r="12" spans="1:31" ht="42" customHeight="1" thickBot="1" x14ac:dyDescent="0.25">
      <c r="A12" s="209">
        <v>6</v>
      </c>
      <c r="B12" s="121" t="str">
        <f>INDEX(Erfassung2!$S:$S,MATCH($A12,Erfassung2!$BN:$BN,0)-17)</f>
        <v>Kings Club Bayreuth Land 2</v>
      </c>
      <c r="C12" s="99">
        <f>INDEX(Erfassung2!U:U,MATCH($A12,Erfassung2!$BN:$BN,0)-1)</f>
        <v>702</v>
      </c>
      <c r="D12" s="100">
        <f>INDEX(Erfassung2!V:V,MATCH($A12,Erfassung2!$BN:$BN,0))</f>
        <v>3</v>
      </c>
      <c r="E12" s="99">
        <f>INDEX(Erfassung2!W:W,MATCH($A12,Erfassung2!$BN:$BN,0)-1)</f>
        <v>624</v>
      </c>
      <c r="F12" s="100">
        <f>INDEX(Erfassung2!X:X,MATCH($A12,Erfassung2!$BN:$BN,0))</f>
        <v>1</v>
      </c>
      <c r="G12" s="99">
        <f>INDEX(Erfassung2!Y:Y,MATCH($A12,Erfassung2!$BN:$BN,0)-1)</f>
        <v>685</v>
      </c>
      <c r="H12" s="100">
        <f>INDEX(Erfassung2!Z:Z,MATCH($A12,Erfassung2!$BN:$BN,0))</f>
        <v>1</v>
      </c>
      <c r="I12" s="99">
        <f>INDEX(Erfassung2!AA:AA,MATCH($A12,Erfassung2!$BN:$BN,0)-1)</f>
        <v>653</v>
      </c>
      <c r="J12" s="100">
        <f>INDEX(Erfassung2!AB:AB,MATCH($A12,Erfassung2!$BN:$BN,0))</f>
        <v>1</v>
      </c>
      <c r="K12" s="99">
        <f>INDEX(Erfassung2!AC:AC,MATCH($A12,Erfassung2!$BN:$BN,0)-1)</f>
        <v>707</v>
      </c>
      <c r="L12" s="100">
        <f>INDEX(Erfassung2!AD:AD,MATCH($A12,Erfassung2!$BN:$BN,0))</f>
        <v>2</v>
      </c>
      <c r="M12" s="101">
        <f t="shared" si="0"/>
        <v>3371</v>
      </c>
      <c r="N12" s="102">
        <f t="shared" si="0"/>
        <v>8</v>
      </c>
      <c r="O12" s="76">
        <f>IFERROR(M12/INDEX(Erfassung2!BF:BF,MATCH(A12,Erfassung2!BN:BN,0)),0)</f>
        <v>168.55</v>
      </c>
      <c r="P12" s="122"/>
      <c r="Q12" s="51"/>
      <c r="AA12" s="213">
        <f>INDEX(Tabelle1!M:M,MATCH(B12,Tabelle1!B:B,0))+M12</f>
        <v>6619</v>
      </c>
      <c r="AB12" s="213">
        <f>INDEX(Tabelle1!N:N,MATCH(B12,Tabelle1!B:B,0))+N12</f>
        <v>16</v>
      </c>
      <c r="AC12" s="215">
        <f t="shared" si="1"/>
        <v>16.000006619000001</v>
      </c>
      <c r="AD12" s="215">
        <f t="shared" si="2"/>
        <v>6</v>
      </c>
      <c r="AE12" s="215">
        <f>INDEX(Tabelle1!AE:AE,MATCH(B12,Tabelle1!B:B,0))+SUMIF(Erfassung2!BQ:BQ,B12,Erfassung2!BF:BF)</f>
        <v>40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</row>
    <row r="16" spans="1:31" x14ac:dyDescent="0.2">
      <c r="C16" s="382"/>
      <c r="D16" s="382"/>
      <c r="E16" s="382"/>
      <c r="F16" s="382"/>
      <c r="G16" s="382"/>
      <c r="H16" s="382"/>
    </row>
    <row r="17" spans="2:16" x14ac:dyDescent="0.2">
      <c r="B17" s="106" t="s">
        <v>1817</v>
      </c>
      <c r="C17" t="str">
        <f>IFERROR(INDEX(Erfassung2!S:S,MATCH(1,Erfassung2!BR:BR,0)),"")</f>
        <v>Arnold, Nadine</v>
      </c>
      <c r="H17" t="str">
        <f>INDEX(Erfassung2!BQ:BQ,MATCH(C17,Erfassung2!S:S,0))</f>
        <v>Herzogenaurach 1</v>
      </c>
      <c r="N17" s="104">
        <f>IFERROR(ROUND(INDEX(Erfassung2!BP:BP,MATCH(1,Erfassung2!BR:BR,0)),0),"")</f>
        <v>257</v>
      </c>
    </row>
    <row r="18" spans="2:16" x14ac:dyDescent="0.2">
      <c r="B18" s="106"/>
      <c r="C18" t="str">
        <f>IF(N18="","",IFERROR(INDEX(Erfassung2!S:S,MATCH(2,Erfassung2!BR:BR,0)),""))</f>
        <v/>
      </c>
      <c r="H18" t="str">
        <f>IF(C18="","",INDEX(Erfassung2!BQ:BQ,MATCH(C18,Erfassung2!S:S,0)))</f>
        <v/>
      </c>
      <c r="N18" s="105" t="str">
        <f>IF(IFERROR(ROUND(INDEX(Erfassung2!BP:BP,MATCH(2,Erfassung2!BR:BR,0)),0),0)=0,"",IFERROR(ROUND(INDEX(Erfassung2!BP:BP,MATCH(2,Erfassung2!BR:BR,0)),0),0))</f>
        <v/>
      </c>
    </row>
    <row r="19" spans="2:16" x14ac:dyDescent="0.2">
      <c r="B19" s="106"/>
      <c r="C19" t="str">
        <f>IF(N19="","",IFERROR(INDEX(Erfassung2!S:S,MATCH(3,Erfassung2!BR:BR,0)),""))</f>
        <v/>
      </c>
      <c r="H19" t="str">
        <f>IF(C19="","",INDEX(Erfassung2!BQ:BQ,MATCH(C19,Erfassung2!S:S,0)))</f>
        <v/>
      </c>
      <c r="N19" s="105" t="str">
        <f>IF(IFERROR(ROUND(INDEX(Erfassung2!BP:BP,MATCH(3,Erfassung2!BR:BR,0)),0),0)=0,"",IFERROR(ROUND(INDEX(Erfassung2!BP:BP,MATCH(3,Erfassung2!BR:BR,0)),0),""))</f>
        <v/>
      </c>
    </row>
    <row r="20" spans="2:16" x14ac:dyDescent="0.2">
      <c r="B20" s="106" t="s">
        <v>1818</v>
      </c>
      <c r="C20" t="str">
        <f>IFERROR(INDEX(Erfassung2!S:S,MATCH(1,Erfassung2!BV:BV,0)),"")</f>
        <v>Walzer, Peter</v>
      </c>
      <c r="H20" t="str">
        <f>INDEX(Erfassung2!BQ:BQ,MATCH(C20,Erfassung2!S:S,0))</f>
        <v>Castra Regina Regensburg 3</v>
      </c>
      <c r="N20" s="387" t="str">
        <f>IFERROR(ROUND(INDEX(Erfassung2!BS:BS,MATCH(1,Erfassung2!BV:BV,0)),0),"")&amp;"  /  "&amp;ROUND(IFERROR(ROUND(INDEX(Erfassung2!BS:BS,MATCH(1,Erfassung2!BV:BV,0)),0),"")/5,2)</f>
        <v>995  /  199</v>
      </c>
      <c r="O20" s="387"/>
      <c r="P20" s="92"/>
    </row>
    <row r="21" spans="2:16" x14ac:dyDescent="0.2">
      <c r="C21" t="str">
        <f>IF(N21="","",IFERROR(INDEX(Erfassung2!S:S,MATCH(2,Erfassung2!BV:BV,0)),""))</f>
        <v/>
      </c>
      <c r="E21" s="6"/>
      <c r="H21" t="str">
        <f>IF(C21="","",INDEX(Erfassung2!BQ:BQ,MATCH(C21,Erfassung2!S:S,0)))</f>
        <v/>
      </c>
      <c r="N21" s="105" t="str">
        <f>IF(IFERROR(ROUND(INDEX(Erfassung2!BS:BS,MATCH(2,Erfassung2!BV:BV,0)),0),0)=0,"",IFERROR(ROUND(INDEX(Erfassung2!BS:BS,MATCH(2,Erfassung2!BV:BV,0)),0),0))</f>
        <v/>
      </c>
    </row>
    <row r="22" spans="2:16" x14ac:dyDescent="0.2">
      <c r="C22" t="str">
        <f>IF(N22="","",IFERROR(INDEX(Erfassung2!S:S,MATCH(3,Erfassung2!BV:BV,0)),""))</f>
        <v/>
      </c>
      <c r="E22" s="6"/>
      <c r="H22" t="str">
        <f>IF(C22="","",INDEX(Erfassung2!BQ:BQ,MATCH(C22,Erfassung2!S:S,0)))</f>
        <v/>
      </c>
      <c r="N22" s="105" t="str">
        <f>IF(IFERROR(ROUND(INDEX(Erfassung2!BS:BS,MATCH(3,Erfassung2!BV:BV,0)),0),0)=0,"",IFERROR(ROUND(INDEX(Erfassung2!BS:BS,MATCH(3,Erfassung2!BV:BV,0)),0),0))</f>
        <v/>
      </c>
    </row>
    <row r="24" spans="2:16" ht="23.25" customHeight="1" x14ac:dyDescent="0.2"/>
  </sheetData>
  <sheetProtection password="D19C" sheet="1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5:O15"/>
    <mergeCell ref="C16:H16"/>
    <mergeCell ref="N20:O20"/>
    <mergeCell ref="M5:N5"/>
    <mergeCell ref="O5:O6"/>
    <mergeCell ref="K5:L5"/>
  </mergeCells>
  <conditionalFormatting sqref="C7:L12">
    <cfRule type="top10" dxfId="11" priority="2" stopIfTrue="1" rank="1"/>
  </conditionalFormatting>
  <conditionalFormatting sqref="M7:M12">
    <cfRule type="top10" dxfId="10" priority="1" stopIfTrue="1" rank="1"/>
  </conditionalFormatting>
  <printOptions horizontalCentered="1" verticalCentered="1"/>
  <pageMargins left="0" right="0" top="0" bottom="0" header="0" footer="0"/>
  <pageSetup paperSize="9" fitToHeight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93D0-EE3D-480D-9B6E-097129B7EEEE}">
  <sheetPr>
    <tabColor theme="8" tint="-0.249977111117893"/>
  </sheetPr>
  <dimension ref="A1:O12"/>
  <sheetViews>
    <sheetView workbookViewId="0">
      <selection activeCell="D85" sqref="D85:M85"/>
    </sheetView>
  </sheetViews>
  <sheetFormatPr baseColWidth="10" defaultRowHeight="12.75" x14ac:dyDescent="0.2"/>
  <cols>
    <col min="1" max="1" width="4.140625" customWidth="1"/>
    <col min="2" max="2" width="21.7109375" customWidth="1"/>
    <col min="3" max="6" width="8.7109375" customWidth="1"/>
    <col min="7" max="7" width="13.42578125" customWidth="1"/>
    <col min="8" max="8" width="9.42578125" customWidth="1"/>
    <col min="10" max="10" width="6.42578125" customWidth="1"/>
  </cols>
  <sheetData>
    <row r="1" spans="1:15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</row>
    <row r="2" spans="1:15" ht="28.5" customHeight="1" x14ac:dyDescent="0.2">
      <c r="A2" s="379" t="str">
        <f>"Saison "&amp;Spielorte!C18&amp;"     -     Spieltag "&amp;Erfassung2!AD2&amp;"     -     "&amp;TEXT(Erfassung2!AD1,"T. MMMM JJJJ")</f>
        <v>Saison 2024/2025     -     Spieltag 2     -     03.11.</v>
      </c>
      <c r="B2" s="379"/>
      <c r="C2" s="379"/>
      <c r="D2" s="379"/>
      <c r="E2" s="379"/>
      <c r="F2" s="379"/>
      <c r="G2" s="379"/>
      <c r="H2" s="379"/>
      <c r="I2" s="379"/>
      <c r="J2" s="73"/>
      <c r="K2" s="73"/>
      <c r="L2" s="73"/>
      <c r="M2" s="73"/>
      <c r="N2" s="73"/>
      <c r="O2" s="73"/>
    </row>
    <row r="3" spans="1:15" ht="28.5" customHeight="1" x14ac:dyDescent="0.2">
      <c r="A3" s="378" t="s">
        <v>1863</v>
      </c>
      <c r="B3" s="378"/>
      <c r="C3" s="378"/>
      <c r="D3" s="378"/>
      <c r="E3" s="378"/>
      <c r="F3" s="378"/>
      <c r="G3" s="378"/>
      <c r="H3" s="378"/>
      <c r="I3" s="378"/>
      <c r="J3" s="73"/>
      <c r="K3" s="73"/>
      <c r="L3" s="73"/>
      <c r="M3" s="73"/>
      <c r="N3" s="73"/>
      <c r="O3" s="73"/>
    </row>
    <row r="4" spans="1:15" ht="28.5" customHeight="1" thickBot="1" x14ac:dyDescent="0.25">
      <c r="A4" s="210"/>
      <c r="B4" s="210"/>
      <c r="C4" s="87"/>
      <c r="D4" s="211"/>
      <c r="E4" s="211"/>
      <c r="F4" s="211"/>
      <c r="G4" s="211"/>
      <c r="H4" s="88"/>
      <c r="I4" s="162"/>
    </row>
    <row r="5" spans="1:15" x14ac:dyDescent="0.2">
      <c r="A5" s="380" t="s">
        <v>1803</v>
      </c>
      <c r="B5" s="383" t="s">
        <v>1804</v>
      </c>
      <c r="C5" s="385" t="s">
        <v>1807</v>
      </c>
      <c r="D5" s="386"/>
      <c r="E5" s="391" t="s">
        <v>1808</v>
      </c>
      <c r="F5" s="392"/>
      <c r="G5" s="385" t="s">
        <v>1791</v>
      </c>
      <c r="H5" s="386"/>
      <c r="I5" s="389" t="s">
        <v>1805</v>
      </c>
    </row>
    <row r="6" spans="1:15" ht="13.5" thickBot="1" x14ac:dyDescent="0.25">
      <c r="A6" s="381"/>
      <c r="B6" s="384"/>
      <c r="C6" s="74" t="s">
        <v>1799</v>
      </c>
      <c r="D6" s="75" t="s">
        <v>1800</v>
      </c>
      <c r="E6" s="74" t="s">
        <v>1799</v>
      </c>
      <c r="F6" s="75" t="s">
        <v>1800</v>
      </c>
      <c r="G6" s="74" t="s">
        <v>1799</v>
      </c>
      <c r="H6" s="75" t="s">
        <v>1800</v>
      </c>
      <c r="I6" s="390"/>
    </row>
    <row r="7" spans="1:15" ht="42" customHeight="1" thickBot="1" x14ac:dyDescent="0.25">
      <c r="A7" s="218">
        <v>1</v>
      </c>
      <c r="B7" s="121" t="str">
        <f>INDEX(Tabelle2!B:B,MATCH(A7,Tabelle2!AD:AD,0))</f>
        <v>Castra Regina Regensburg 2</v>
      </c>
      <c r="C7" s="164">
        <f>INDEX(Tabelle1!M:M,MATCH(B7,Tabelle1!B:B,0))</f>
        <v>3939</v>
      </c>
      <c r="D7" s="165">
        <f>INDEX(Tabelle1!N:N,MATCH(B7,Tabelle1!B:B,0))</f>
        <v>26</v>
      </c>
      <c r="E7" s="164">
        <f>INDEX(Tabelle2!M:M,MATCH(B7,Tabelle2!B:B,0))</f>
        <v>3461</v>
      </c>
      <c r="F7" s="165">
        <f>INDEX(Tabelle2!N:N,MATCH(B7,Tabelle2!B:B,0))</f>
        <v>12</v>
      </c>
      <c r="G7" s="219">
        <f t="shared" ref="G7:H12" si="0">SUM(C7+E7)</f>
        <v>7400</v>
      </c>
      <c r="H7" s="220">
        <f t="shared" si="0"/>
        <v>38</v>
      </c>
      <c r="I7" s="221">
        <f>G7/INDEX(Tabelle2!$AE:$AE,MATCH($B7,Tabelle2!$B:$B,0))</f>
        <v>185</v>
      </c>
      <c r="J7" s="81"/>
    </row>
    <row r="8" spans="1:15" ht="42" customHeight="1" thickBot="1" x14ac:dyDescent="0.25">
      <c r="A8" s="218">
        <v>2</v>
      </c>
      <c r="B8" s="121" t="str">
        <f>INDEX(Tabelle2!B:B,MATCH(A8,Tabelle2!AD:AD,0))</f>
        <v>Castra Regina Regensburg 3</v>
      </c>
      <c r="C8" s="164">
        <f>INDEX(Tabelle1!M:M,MATCH(B8,Tabelle1!B:B,0))</f>
        <v>3551</v>
      </c>
      <c r="D8" s="165">
        <f>INDEX(Tabelle1!N:N,MATCH(B8,Tabelle1!B:B,0))</f>
        <v>19</v>
      </c>
      <c r="E8" s="164">
        <f>INDEX(Tabelle2!M:M,MATCH(B8,Tabelle2!B:B,0))</f>
        <v>3650</v>
      </c>
      <c r="F8" s="165">
        <f>INDEX(Tabelle2!N:N,MATCH(B8,Tabelle2!B:B,0))</f>
        <v>19</v>
      </c>
      <c r="G8" s="219">
        <f t="shared" si="0"/>
        <v>7201</v>
      </c>
      <c r="H8" s="220">
        <f t="shared" si="0"/>
        <v>38</v>
      </c>
      <c r="I8" s="221">
        <f>G8/INDEX(Tabelle2!AE:AE,MATCH(B8,Tabelle2!B:B,0))</f>
        <v>180.02500000000001</v>
      </c>
      <c r="J8" s="81"/>
    </row>
    <row r="9" spans="1:15" ht="42" customHeight="1" thickBot="1" x14ac:dyDescent="0.25">
      <c r="A9" s="218">
        <v>3</v>
      </c>
      <c r="B9" s="121" t="str">
        <f>INDEX(Tabelle2!B:B,MATCH(A9,Tabelle2!AD:AD,0))</f>
        <v>Adler Nürnberg 1</v>
      </c>
      <c r="C9" s="164">
        <f>INDEX(Tabelle1!M:M,MATCH(B9,Tabelle1!B:B,0))</f>
        <v>3454</v>
      </c>
      <c r="D9" s="165">
        <f>INDEX(Tabelle1!N:N,MATCH(B9,Tabelle1!B:B,0))</f>
        <v>17.5</v>
      </c>
      <c r="E9" s="164">
        <f>INDEX(Tabelle2!M:M,MATCH(B9,Tabelle2!B:B,0))</f>
        <v>3342</v>
      </c>
      <c r="F9" s="165">
        <f>INDEX(Tabelle2!N:N,MATCH(B9,Tabelle2!B:B,0))</f>
        <v>15</v>
      </c>
      <c r="G9" s="219">
        <f t="shared" si="0"/>
        <v>6796</v>
      </c>
      <c r="H9" s="220">
        <f t="shared" si="0"/>
        <v>32.5</v>
      </c>
      <c r="I9" s="221">
        <f>G9/INDEX(Tabelle2!AE:AE,MATCH(B9,Tabelle2!B:B,0))</f>
        <v>169.9</v>
      </c>
      <c r="J9" s="81"/>
    </row>
    <row r="10" spans="1:15" ht="42" customHeight="1" thickBot="1" x14ac:dyDescent="0.25">
      <c r="A10" s="218">
        <v>4</v>
      </c>
      <c r="B10" s="121" t="str">
        <f>INDEX(Tabelle2!B:B,MATCH(A10,Tabelle2!AD:AD,0))</f>
        <v>Herzogenaurach 1</v>
      </c>
      <c r="C10" s="164">
        <f>INDEX(Tabelle1!M:M,MATCH(B10,Tabelle1!B:B,0))</f>
        <v>3545</v>
      </c>
      <c r="D10" s="165">
        <f>INDEX(Tabelle1!N:N,MATCH(B10,Tabelle1!B:B,0))</f>
        <v>12</v>
      </c>
      <c r="E10" s="164">
        <f>INDEX(Tabelle2!M:M,MATCH(B10,Tabelle2!B:B,0))</f>
        <v>3580</v>
      </c>
      <c r="F10" s="165">
        <f>INDEX(Tabelle2!N:N,MATCH(B10,Tabelle2!B:B,0))</f>
        <v>17</v>
      </c>
      <c r="G10" s="219">
        <f t="shared" si="0"/>
        <v>7125</v>
      </c>
      <c r="H10" s="220">
        <f t="shared" si="0"/>
        <v>29</v>
      </c>
      <c r="I10" s="221">
        <f>G10/INDEX(Tabelle2!AE:AE,MATCH(B10,Tabelle2!B:B,0))</f>
        <v>178.125</v>
      </c>
      <c r="J10" s="81"/>
    </row>
    <row r="11" spans="1:15" ht="42" customHeight="1" thickBot="1" x14ac:dyDescent="0.25">
      <c r="A11" s="218">
        <v>5</v>
      </c>
      <c r="B11" s="121" t="str">
        <f>INDEX(Tabelle2!B:B,MATCH(A11,Tabelle2!AD:AD,0))</f>
        <v>Kings Club Bayreuth Land 3</v>
      </c>
      <c r="C11" s="164">
        <f>INDEX(Tabelle1!M:M,MATCH(B11,Tabelle1!B:B,0))</f>
        <v>3375</v>
      </c>
      <c r="D11" s="165">
        <f>INDEX(Tabelle1!N:N,MATCH(B11,Tabelle1!B:B,0))</f>
        <v>7.5</v>
      </c>
      <c r="E11" s="164">
        <f>INDEX(Tabelle2!M:M,MATCH(B11,Tabelle2!B:B,0))</f>
        <v>3442</v>
      </c>
      <c r="F11" s="165">
        <f>INDEX(Tabelle2!N:N,MATCH(B11,Tabelle2!B:B,0))</f>
        <v>19</v>
      </c>
      <c r="G11" s="219">
        <f t="shared" si="0"/>
        <v>6817</v>
      </c>
      <c r="H11" s="220">
        <f t="shared" si="0"/>
        <v>26.5</v>
      </c>
      <c r="I11" s="221">
        <f>G11/INDEX(Tabelle2!AE:AE,MATCH(B11,Tabelle2!B:B,0))</f>
        <v>170.42500000000001</v>
      </c>
      <c r="J11" s="81"/>
    </row>
    <row r="12" spans="1:15" ht="42" customHeight="1" thickBot="1" x14ac:dyDescent="0.25">
      <c r="A12" s="218">
        <v>6</v>
      </c>
      <c r="B12" s="121" t="str">
        <f>INDEX(Tabelle2!B:B,MATCH(A12,Tabelle2!AD:AD,0))</f>
        <v>Kings Club Bayreuth Land 2</v>
      </c>
      <c r="C12" s="164">
        <f>INDEX(Tabelle1!M:M,MATCH(B12,Tabelle1!B:B,0))</f>
        <v>3248</v>
      </c>
      <c r="D12" s="165">
        <f>INDEX(Tabelle1!N:N,MATCH(B12,Tabelle1!B:B,0))</f>
        <v>8</v>
      </c>
      <c r="E12" s="164">
        <f>INDEX(Tabelle2!M:M,MATCH(B12,Tabelle2!B:B,0))</f>
        <v>3371</v>
      </c>
      <c r="F12" s="165">
        <f>INDEX(Tabelle2!N:N,MATCH(B12,Tabelle2!B:B,0))</f>
        <v>8</v>
      </c>
      <c r="G12" s="219">
        <f t="shared" si="0"/>
        <v>6619</v>
      </c>
      <c r="H12" s="220">
        <f t="shared" si="0"/>
        <v>16</v>
      </c>
      <c r="I12" s="221">
        <f>IFERROR(G12/INDEX(Tabelle2!AE:AE,MATCH(B12,Tabelle2!B:B,0)),0)</f>
        <v>165.47499999999999</v>
      </c>
      <c r="J12" s="81"/>
    </row>
  </sheetData>
  <sheetProtection password="D19C" sheet="1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D233-9B0A-412E-BADE-9F9A7E1E5AE1}">
  <sheetPr>
    <tabColor rgb="FF7030A0"/>
    <pageSetUpPr fitToPage="1"/>
  </sheetPr>
  <dimension ref="A1:P104"/>
  <sheetViews>
    <sheetView view="pageBreakPreview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2</v>
      </c>
      <c r="D2" s="114" t="s">
        <v>1821</v>
      </c>
      <c r="E2" s="115"/>
      <c r="F2" s="116"/>
      <c r="L2" s="108">
        <f>INDEX(Starter!A:A,ROW()-1)</f>
        <v>7136</v>
      </c>
      <c r="M2" s="108">
        <f>SUMIF(Erfassung2!BD:BD,L2,Erfassung2!BS:BS)</f>
        <v>0</v>
      </c>
      <c r="N2" s="108">
        <f>SUMIF(Erfassung2!BD:BD,L2,Erfassung2!BG:BG)</f>
        <v>0</v>
      </c>
      <c r="O2" s="108">
        <f>IF(N2=0,0,M2/N2-ROW()/1000000000)</f>
        <v>0</v>
      </c>
      <c r="P2" s="108">
        <f>RANK(O2,O:O)</f>
        <v>29</v>
      </c>
    </row>
    <row r="3" spans="1:16" x14ac:dyDescent="0.2">
      <c r="L3" s="108">
        <f>INDEX(Starter!A:A,ROW()-1)</f>
        <v>7123</v>
      </c>
      <c r="M3" s="108">
        <f>SUMIF(Erfassung2!BD:BD,L3,Erfassung2!BS:BS)</f>
        <v>734</v>
      </c>
      <c r="N3" s="108">
        <f>SUMIF(Erfassung2!BD:BD,L3,Erfassung2!BG:BG)</f>
        <v>5</v>
      </c>
      <c r="O3" s="108">
        <f t="shared" ref="O3:O66" si="0">IF(N3=0,0,M3/N3-ROW()/1000000000)</f>
        <v>146.79999999700001</v>
      </c>
      <c r="P3" s="108">
        <f t="shared" ref="P3:P66" si="1">RANK(O3,O:O)</f>
        <v>26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SUMIF(Erfassung2!BD:BD,L4,Erfassung2!BS:BS)</f>
        <v>819</v>
      </c>
      <c r="N4" s="108">
        <f>SUMIF(Erfassung2!BD:BD,L4,Erfassung2!BG:BG)</f>
        <v>5</v>
      </c>
      <c r="O4" s="108">
        <f t="shared" si="0"/>
        <v>163.79999999600003</v>
      </c>
      <c r="P4" s="108">
        <f t="shared" si="1"/>
        <v>18</v>
      </c>
    </row>
    <row r="5" spans="1:16" x14ac:dyDescent="0.2">
      <c r="A5" s="108">
        <v>1</v>
      </c>
      <c r="B5" s="108">
        <f t="shared" ref="B5:B68" si="2">IFERROR(INDEX(L:L,MATCH(A5,P:P,0)),"")</f>
        <v>7813</v>
      </c>
      <c r="C5" s="108" t="str">
        <f>IFERROR(INDEX(Starter!B:B,MATCH(B5,Starter!A:A,0)),"")</f>
        <v>Walzer, Peter</v>
      </c>
      <c r="D5" s="108" t="str">
        <f>IFERROR(INDEX(Starter!C:C,MATCH(B5,Starter!A:A,0)),"")</f>
        <v>BC Castra Regina Regensburg</v>
      </c>
      <c r="E5" s="117">
        <f t="shared" ref="E5:E68" si="3">IFERROR(INDEX(M:M,MATCH(A5,P:P,0)),"")</f>
        <v>995</v>
      </c>
      <c r="F5" s="108">
        <f t="shared" ref="F5:F68" si="4">IFERROR(INDEX(N:N,MATCH(A5,P:P,0)),"")</f>
        <v>5</v>
      </c>
      <c r="G5" s="112">
        <f t="shared" ref="G5:G68" si="5">IFERROR(INDEX(O:O,MATCH(A5,P:P,0)),"")</f>
        <v>198.999999973</v>
      </c>
      <c r="L5" s="108">
        <f>INDEX(Starter!A:A,ROW()-1)</f>
        <v>7128</v>
      </c>
      <c r="M5" s="108">
        <f>SUMIF(Erfassung2!BD:BD,L5,Erfassung2!BS:BS)</f>
        <v>0</v>
      </c>
      <c r="N5" s="108">
        <f>SUMIF(Erfassung2!BD:BD,L5,Erfassung2!BG:BG)</f>
        <v>0</v>
      </c>
      <c r="O5" s="108">
        <f t="shared" si="0"/>
        <v>0</v>
      </c>
      <c r="P5" s="108">
        <f t="shared" si="1"/>
        <v>29</v>
      </c>
    </row>
    <row r="6" spans="1:16" x14ac:dyDescent="0.2">
      <c r="A6" s="108">
        <f t="shared" ref="A6:A69" si="6">IFERROR(IF(A5+1&gt;MAX(P:P)-1,"",A5+1),"")</f>
        <v>2</v>
      </c>
      <c r="B6" s="108">
        <f t="shared" si="2"/>
        <v>25723</v>
      </c>
      <c r="C6" s="108" t="str">
        <f>IFERROR(INDEX(Starter!B:B,MATCH(B6,Starter!A:A,0)),"")</f>
        <v>Bothe, Thomas</v>
      </c>
      <c r="D6" s="108" t="str">
        <f>IFERROR(INDEX(Starter!C:C,MATCH(B6,Starter!A:A,0)),"")</f>
        <v>BC Castra Regina Regensburg</v>
      </c>
      <c r="E6" s="117">
        <f t="shared" si="3"/>
        <v>969</v>
      </c>
      <c r="F6" s="108">
        <f t="shared" si="4"/>
        <v>5</v>
      </c>
      <c r="G6" s="112">
        <f t="shared" si="5"/>
        <v>193.79999996400002</v>
      </c>
      <c r="L6" s="108">
        <f>INDEX(Starter!A:A,ROW()-1)</f>
        <v>38507</v>
      </c>
      <c r="M6" s="108">
        <f>SUMIF(Erfassung2!BD:BD,L6,Erfassung2!BS:BS)</f>
        <v>0</v>
      </c>
      <c r="N6" s="108">
        <f>SUMIF(Erfassung2!BD:BD,L6,Erfassung2!BG:BG)</f>
        <v>0</v>
      </c>
      <c r="O6" s="108">
        <f t="shared" si="0"/>
        <v>0</v>
      </c>
      <c r="P6" s="108">
        <f t="shared" si="1"/>
        <v>29</v>
      </c>
    </row>
    <row r="7" spans="1:16" x14ac:dyDescent="0.2">
      <c r="A7" s="108">
        <f t="shared" si="6"/>
        <v>3</v>
      </c>
      <c r="B7" s="108">
        <f t="shared" si="2"/>
        <v>7814</v>
      </c>
      <c r="C7" s="108" t="str">
        <f>IFERROR(INDEX(Starter!B:B,MATCH(B7,Starter!A:A,0)),"")</f>
        <v>Kauscher, Bernhard</v>
      </c>
      <c r="D7" s="108" t="str">
        <f>IFERROR(INDEX(Starter!C:C,MATCH(B7,Starter!A:A,0)),"")</f>
        <v>BC Castra Regina Regensburg</v>
      </c>
      <c r="E7" s="117">
        <f t="shared" si="3"/>
        <v>949</v>
      </c>
      <c r="F7" s="108">
        <f t="shared" si="4"/>
        <v>5</v>
      </c>
      <c r="G7" s="112">
        <f t="shared" si="5"/>
        <v>189.799999974</v>
      </c>
      <c r="L7" s="108">
        <f>INDEX(Starter!A:A,ROW()-1)</f>
        <v>38115</v>
      </c>
      <c r="M7" s="108">
        <f>SUMIF(Erfassung2!BD:BD,L7,Erfassung2!BS:BS)</f>
        <v>0</v>
      </c>
      <c r="N7" s="108">
        <f>SUMIF(Erfassung2!BD:BD,L7,Erfassung2!BG:BG)</f>
        <v>0</v>
      </c>
      <c r="O7" s="108">
        <f t="shared" si="0"/>
        <v>0</v>
      </c>
      <c r="P7" s="108">
        <f t="shared" si="1"/>
        <v>29</v>
      </c>
    </row>
    <row r="8" spans="1:16" x14ac:dyDescent="0.2">
      <c r="A8" s="108">
        <f t="shared" si="6"/>
        <v>4</v>
      </c>
      <c r="B8" s="108">
        <f t="shared" si="2"/>
        <v>25760</v>
      </c>
      <c r="C8" s="108" t="str">
        <f>IFERROR(INDEX(Starter!B:B,MATCH(B8,Starter!A:A,0)),"")</f>
        <v>Inkermann, Matthias</v>
      </c>
      <c r="D8" s="108" t="str">
        <f>IFERROR(INDEX(Starter!C:C,MATCH(B8,Starter!A:A,0)),"")</f>
        <v>BC Herzogenaurach</v>
      </c>
      <c r="E8" s="117">
        <f t="shared" si="3"/>
        <v>949</v>
      </c>
      <c r="F8" s="108">
        <f t="shared" si="4"/>
        <v>5</v>
      </c>
      <c r="G8" s="112">
        <f t="shared" si="5"/>
        <v>189.79999995700001</v>
      </c>
      <c r="L8" s="108">
        <f>INDEX(Starter!A:A,ROW()-1)</f>
        <v>7586</v>
      </c>
      <c r="M8" s="108">
        <f>SUMIF(Erfassung2!BD:BD,L8,Erfassung2!BS:BS)</f>
        <v>827</v>
      </c>
      <c r="N8" s="108">
        <f>SUMIF(Erfassung2!BD:BD,L8,Erfassung2!BG:BG)</f>
        <v>5</v>
      </c>
      <c r="O8" s="108">
        <f t="shared" si="0"/>
        <v>165.39999999200001</v>
      </c>
      <c r="P8" s="108">
        <f t="shared" si="1"/>
        <v>17</v>
      </c>
    </row>
    <row r="9" spans="1:16" x14ac:dyDescent="0.2">
      <c r="A9" s="108">
        <f t="shared" si="6"/>
        <v>5</v>
      </c>
      <c r="B9" s="108">
        <f t="shared" si="2"/>
        <v>38046</v>
      </c>
      <c r="C9" s="108" t="str">
        <f>IFERROR(INDEX(Starter!B:B,MATCH(B9,Starter!A:A,0)),"")</f>
        <v>Humbs, Martin</v>
      </c>
      <c r="D9" s="108" t="str">
        <f>IFERROR(INDEX(Starter!C:C,MATCH(B9,Starter!A:A,0)),"")</f>
        <v>BC Castra Regina Regensburg</v>
      </c>
      <c r="E9" s="117">
        <f t="shared" si="3"/>
        <v>938</v>
      </c>
      <c r="F9" s="108">
        <f t="shared" si="4"/>
        <v>5</v>
      </c>
      <c r="G9" s="112">
        <f t="shared" si="5"/>
        <v>187.599999978</v>
      </c>
      <c r="L9" s="108">
        <f>INDEX(Starter!A:A,ROW()-1)</f>
        <v>9936</v>
      </c>
      <c r="M9" s="108">
        <f>SUMIF(Erfassung2!BD:BD,L9,Erfassung2!BS:BS)</f>
        <v>829</v>
      </c>
      <c r="N9" s="108">
        <f>SUMIF(Erfassung2!BD:BD,L9,Erfassung2!BG:BG)</f>
        <v>5</v>
      </c>
      <c r="O9" s="108">
        <f t="shared" si="0"/>
        <v>165.79999999100002</v>
      </c>
      <c r="P9" s="108">
        <f t="shared" si="1"/>
        <v>16</v>
      </c>
    </row>
    <row r="10" spans="1:16" x14ac:dyDescent="0.2">
      <c r="A10" s="108">
        <f t="shared" si="6"/>
        <v>6</v>
      </c>
      <c r="B10" s="108">
        <f t="shared" si="2"/>
        <v>25378</v>
      </c>
      <c r="C10" s="108" t="str">
        <f>IFERROR(INDEX(Starter!B:B,MATCH(B10,Starter!A:A,0)),"")</f>
        <v>Arnold, Nadine</v>
      </c>
      <c r="D10" s="108" t="str">
        <f>IFERROR(INDEX(Starter!C:C,MATCH(B10,Starter!A:A,0)),"")</f>
        <v>BC Herzogenaurach</v>
      </c>
      <c r="E10" s="117">
        <f t="shared" si="3"/>
        <v>935</v>
      </c>
      <c r="F10" s="108">
        <f t="shared" si="4"/>
        <v>5</v>
      </c>
      <c r="G10" s="112">
        <f t="shared" si="5"/>
        <v>186.999999981</v>
      </c>
      <c r="L10" s="108">
        <f>INDEX(Starter!A:A,ROW()-1)</f>
        <v>7135</v>
      </c>
      <c r="M10" s="108">
        <f>SUMIF(Erfassung2!BD:BD,L10,Erfassung2!BS:BS)</f>
        <v>914</v>
      </c>
      <c r="N10" s="108">
        <f>SUMIF(Erfassung2!BD:BD,L10,Erfassung2!BG:BG)</f>
        <v>5</v>
      </c>
      <c r="O10" s="108">
        <f t="shared" si="0"/>
        <v>182.79999999</v>
      </c>
      <c r="P10" s="108">
        <f t="shared" si="1"/>
        <v>9</v>
      </c>
    </row>
    <row r="11" spans="1:16" x14ac:dyDescent="0.2">
      <c r="A11" s="108">
        <f t="shared" si="6"/>
        <v>7</v>
      </c>
      <c r="B11" s="108">
        <f t="shared" si="2"/>
        <v>7816</v>
      </c>
      <c r="C11" s="108" t="str">
        <f>IFERROR(INDEX(Starter!B:B,MATCH(B11,Starter!A:A,0)),"")</f>
        <v>Jahre, Steffen</v>
      </c>
      <c r="D11" s="108" t="str">
        <f>IFERROR(INDEX(Starter!C:C,MATCH(B11,Starter!A:A,0)),"")</f>
        <v>BC Castra Regina Regensburg</v>
      </c>
      <c r="E11" s="117">
        <f t="shared" si="3"/>
        <v>919</v>
      </c>
      <c r="F11" s="108">
        <f t="shared" si="4"/>
        <v>5</v>
      </c>
      <c r="G11" s="112">
        <f t="shared" si="5"/>
        <v>183.799999963</v>
      </c>
      <c r="L11" s="108">
        <f>INDEX(Starter!A:A,ROW()-1)</f>
        <v>38367</v>
      </c>
      <c r="M11" s="108">
        <f>SUMIF(Erfassung2!BD:BD,L11,Erfassung2!BS:BS)</f>
        <v>0</v>
      </c>
      <c r="N11" s="108">
        <f>SUMIF(Erfassung2!BD:BD,L11,Erfassung2!BG:BG)</f>
        <v>0</v>
      </c>
      <c r="O11" s="108">
        <f t="shared" si="0"/>
        <v>0</v>
      </c>
      <c r="P11" s="108">
        <f t="shared" si="1"/>
        <v>29</v>
      </c>
    </row>
    <row r="12" spans="1:16" x14ac:dyDescent="0.2">
      <c r="A12" s="108">
        <f t="shared" si="6"/>
        <v>8</v>
      </c>
      <c r="B12" s="108">
        <f t="shared" si="2"/>
        <v>38509</v>
      </c>
      <c r="C12" s="108" t="str">
        <f>IFERROR(INDEX(Starter!B:B,MATCH(B12,Starter!A:A,0)),"")</f>
        <v>Zahiri, Ali</v>
      </c>
      <c r="D12" s="108" t="str">
        <f>IFERROR(INDEX(Starter!C:C,MATCH(B12,Starter!A:A,0)),"")</f>
        <v>Kings Club Bayreuth</v>
      </c>
      <c r="E12" s="117">
        <f t="shared" si="3"/>
        <v>918</v>
      </c>
      <c r="F12" s="108">
        <f t="shared" si="4"/>
        <v>5</v>
      </c>
      <c r="G12" s="112">
        <f t="shared" si="5"/>
        <v>183.599999983</v>
      </c>
      <c r="L12" s="108">
        <f>INDEX(Starter!A:A,ROW()-1)</f>
        <v>38152</v>
      </c>
      <c r="M12" s="108">
        <f>SUMIF(Erfassung2!BD:BD,L12,Erfassung2!BS:BS)</f>
        <v>0</v>
      </c>
      <c r="N12" s="108">
        <f>SUMIF(Erfassung2!BD:BD,L12,Erfassung2!BG:BG)</f>
        <v>0</v>
      </c>
      <c r="O12" s="108">
        <f t="shared" si="0"/>
        <v>0</v>
      </c>
      <c r="P12" s="108">
        <f t="shared" si="1"/>
        <v>29</v>
      </c>
    </row>
    <row r="13" spans="1:16" x14ac:dyDescent="0.2">
      <c r="A13" s="108">
        <f t="shared" si="6"/>
        <v>9</v>
      </c>
      <c r="B13" s="108">
        <f t="shared" si="2"/>
        <v>7135</v>
      </c>
      <c r="C13" s="108" t="str">
        <f>IFERROR(INDEX(Starter!B:B,MATCH(B13,Starter!A:A,0)),"")</f>
        <v>Franke, Guido</v>
      </c>
      <c r="D13" s="108" t="str">
        <f>IFERROR(INDEX(Starter!C:C,MATCH(B13,Starter!A:A,0)),"")</f>
        <v>Kings Club Bayreuth</v>
      </c>
      <c r="E13" s="117">
        <f t="shared" si="3"/>
        <v>914</v>
      </c>
      <c r="F13" s="108">
        <f t="shared" si="4"/>
        <v>5</v>
      </c>
      <c r="G13" s="112">
        <f t="shared" si="5"/>
        <v>182.79999999</v>
      </c>
      <c r="L13" s="108">
        <f>INDEX(Starter!A:A,ROW()-1)</f>
        <v>25007</v>
      </c>
      <c r="M13" s="108">
        <f>SUMIF(Erfassung2!BD:BD,L13,Erfassung2!BS:BS)</f>
        <v>0</v>
      </c>
      <c r="N13" s="108">
        <f>SUMIF(Erfassung2!BD:BD,L13,Erfassung2!BG:BG)</f>
        <v>0</v>
      </c>
      <c r="O13" s="108">
        <f t="shared" si="0"/>
        <v>0</v>
      </c>
      <c r="P13" s="108">
        <f t="shared" si="1"/>
        <v>29</v>
      </c>
    </row>
    <row r="14" spans="1:16" x14ac:dyDescent="0.2">
      <c r="A14" s="108">
        <f t="shared" si="6"/>
        <v>10</v>
      </c>
      <c r="B14" s="108">
        <f t="shared" si="2"/>
        <v>7286</v>
      </c>
      <c r="C14" s="108" t="str">
        <f>IFERROR(INDEX(Starter!B:B,MATCH(B14,Starter!A:A,0)),"")</f>
        <v>Meier, Peter</v>
      </c>
      <c r="D14" s="108" t="str">
        <f>IFERROR(INDEX(Starter!C:C,MATCH(B14,Starter!A:A,0)),"")</f>
        <v>BC Herzogenaurach</v>
      </c>
      <c r="E14" s="117">
        <f t="shared" si="3"/>
        <v>906</v>
      </c>
      <c r="F14" s="108">
        <f t="shared" si="4"/>
        <v>5</v>
      </c>
      <c r="G14" s="112">
        <f t="shared" si="5"/>
        <v>181.19999998</v>
      </c>
      <c r="L14" s="108">
        <f>INDEX(Starter!A:A,ROW()-1)</f>
        <v>38661</v>
      </c>
      <c r="M14" s="108">
        <f>SUMIF(Erfassung2!BD:BD,L14,Erfassung2!BS:BS)</f>
        <v>904</v>
      </c>
      <c r="N14" s="108">
        <f>SUMIF(Erfassung2!BD:BD,L14,Erfassung2!BG:BG)</f>
        <v>5</v>
      </c>
      <c r="O14" s="108">
        <f t="shared" si="0"/>
        <v>180.79999998600002</v>
      </c>
      <c r="P14" s="108">
        <f t="shared" si="1"/>
        <v>11</v>
      </c>
    </row>
    <row r="15" spans="1:16" x14ac:dyDescent="0.2">
      <c r="A15" s="108">
        <f t="shared" si="6"/>
        <v>11</v>
      </c>
      <c r="B15" s="108">
        <f t="shared" si="2"/>
        <v>38661</v>
      </c>
      <c r="C15" s="108" t="str">
        <f>IFERROR(INDEX(Starter!B:B,MATCH(B15,Starter!A:A,0)),"")</f>
        <v>Katholing, Jürgen</v>
      </c>
      <c r="D15" s="108" t="str">
        <f>IFERROR(INDEX(Starter!C:C,MATCH(B15,Starter!A:A,0)),"")</f>
        <v>Kings Club Bayreuth</v>
      </c>
      <c r="E15" s="117">
        <f t="shared" si="3"/>
        <v>904</v>
      </c>
      <c r="F15" s="108">
        <f t="shared" si="4"/>
        <v>5</v>
      </c>
      <c r="G15" s="112">
        <f t="shared" si="5"/>
        <v>180.79999998600002</v>
      </c>
      <c r="L15" s="108">
        <f>INDEX(Starter!A:A,ROW()-1)</f>
        <v>34393</v>
      </c>
      <c r="M15" s="108">
        <f>SUMIF(Erfassung2!BD:BD,L15,Erfassung2!BS:BS)</f>
        <v>0</v>
      </c>
      <c r="N15" s="108">
        <f>SUMIF(Erfassung2!BD:BD,L15,Erfassung2!BG:BG)</f>
        <v>0</v>
      </c>
      <c r="O15" s="108">
        <f t="shared" si="0"/>
        <v>0</v>
      </c>
      <c r="P15" s="108">
        <f t="shared" si="1"/>
        <v>29</v>
      </c>
    </row>
    <row r="16" spans="1:16" x14ac:dyDescent="0.2">
      <c r="A16" s="108">
        <f t="shared" si="6"/>
        <v>12</v>
      </c>
      <c r="B16" s="108">
        <f t="shared" si="2"/>
        <v>7714</v>
      </c>
      <c r="C16" s="108" t="str">
        <f>IFERROR(INDEX(Starter!B:B,MATCH(B16,Starter!A:A,0)),"")</f>
        <v>Doßler, Thomas</v>
      </c>
      <c r="D16" s="108" t="str">
        <f>IFERROR(INDEX(Starter!C:C,MATCH(B16,Starter!A:A,0)),"")</f>
        <v>BC Adler Nürnberg</v>
      </c>
      <c r="E16" s="117">
        <f t="shared" si="3"/>
        <v>904</v>
      </c>
      <c r="F16" s="108">
        <f t="shared" si="4"/>
        <v>5</v>
      </c>
      <c r="G16" s="112">
        <f t="shared" si="5"/>
        <v>180.799999961</v>
      </c>
      <c r="L16" s="108">
        <f>INDEX(Starter!A:A,ROW()-1)</f>
        <v>38823</v>
      </c>
      <c r="M16" s="108">
        <f>SUMIF(Erfassung2!BD:BD,L16,Erfassung2!BS:BS)</f>
        <v>868</v>
      </c>
      <c r="N16" s="108">
        <f>SUMIF(Erfassung2!BD:BD,L16,Erfassung2!BG:BG)</f>
        <v>5</v>
      </c>
      <c r="O16" s="108">
        <f t="shared" si="0"/>
        <v>173.59999998399999</v>
      </c>
      <c r="P16" s="108">
        <f t="shared" si="1"/>
        <v>15</v>
      </c>
    </row>
    <row r="17" spans="1:16" x14ac:dyDescent="0.2">
      <c r="A17" s="108">
        <f t="shared" si="6"/>
        <v>13</v>
      </c>
      <c r="B17" s="108">
        <f t="shared" si="2"/>
        <v>16707</v>
      </c>
      <c r="C17" s="108" t="str">
        <f>IFERROR(INDEX(Starter!B:B,MATCH(B17,Starter!A:A,0)),"")</f>
        <v>Beier, Thomas</v>
      </c>
      <c r="D17" s="108" t="str">
        <f>IFERROR(INDEX(Starter!C:C,MATCH(B17,Starter!A:A,0)),"")</f>
        <v>BC Adler Nürnberg</v>
      </c>
      <c r="E17" s="117">
        <f t="shared" si="3"/>
        <v>904</v>
      </c>
      <c r="F17" s="108">
        <f t="shared" si="4"/>
        <v>5</v>
      </c>
      <c r="G17" s="112">
        <f t="shared" si="5"/>
        <v>180.799999958</v>
      </c>
      <c r="L17" s="108">
        <f>INDEX(Starter!A:A,ROW()-1)</f>
        <v>38509</v>
      </c>
      <c r="M17" s="108">
        <f>SUMIF(Erfassung2!BD:BD,L17,Erfassung2!BS:BS)</f>
        <v>918</v>
      </c>
      <c r="N17" s="108">
        <f>SUMIF(Erfassung2!BD:BD,L17,Erfassung2!BG:BG)</f>
        <v>5</v>
      </c>
      <c r="O17" s="108">
        <f t="shared" si="0"/>
        <v>183.599999983</v>
      </c>
      <c r="P17" s="108">
        <f t="shared" si="1"/>
        <v>8</v>
      </c>
    </row>
    <row r="18" spans="1:16" x14ac:dyDescent="0.2">
      <c r="A18" s="108">
        <f t="shared" si="6"/>
        <v>14</v>
      </c>
      <c r="B18" s="108">
        <f t="shared" si="2"/>
        <v>25895</v>
      </c>
      <c r="C18" s="108" t="str">
        <f>IFERROR(INDEX(Starter!B:B,MATCH(B18,Starter!A:A,0)),"")</f>
        <v>Gilch, Stefan</v>
      </c>
      <c r="D18" s="108" t="str">
        <f>IFERROR(INDEX(Starter!C:C,MATCH(B18,Starter!A:A,0)),"")</f>
        <v>BC Castra Regina Regensburg</v>
      </c>
      <c r="E18" s="117">
        <f t="shared" si="3"/>
        <v>536</v>
      </c>
      <c r="F18" s="108">
        <f t="shared" si="4"/>
        <v>3</v>
      </c>
      <c r="G18" s="112">
        <f t="shared" si="5"/>
        <v>178.66666663366667</v>
      </c>
      <c r="L18" s="108">
        <f>INDEX(Starter!A:A,ROW()-1)</f>
        <v>7282</v>
      </c>
      <c r="M18" s="108">
        <f>SUMIF(Erfassung2!BD:BD,L18,Erfassung2!BS:BS)</f>
        <v>0</v>
      </c>
      <c r="N18" s="108">
        <f>SUMIF(Erfassung2!BD:BD,L18,Erfassung2!BG:BG)</f>
        <v>0</v>
      </c>
      <c r="O18" s="108">
        <f t="shared" si="0"/>
        <v>0</v>
      </c>
      <c r="P18" s="108">
        <f t="shared" si="1"/>
        <v>29</v>
      </c>
    </row>
    <row r="19" spans="1:16" x14ac:dyDescent="0.2">
      <c r="A19" s="108">
        <f t="shared" si="6"/>
        <v>15</v>
      </c>
      <c r="B19" s="108">
        <f t="shared" si="2"/>
        <v>38823</v>
      </c>
      <c r="C19" s="108" t="str">
        <f>IFERROR(INDEX(Starter!B:B,MATCH(B19,Starter!A:A,0)),"")</f>
        <v>Sommerer, Stefan</v>
      </c>
      <c r="D19" s="108" t="str">
        <f>IFERROR(INDEX(Starter!C:C,MATCH(B19,Starter!A:A,0)),"")</f>
        <v>Kings Club Bayreuth</v>
      </c>
      <c r="E19" s="117">
        <f t="shared" si="3"/>
        <v>868</v>
      </c>
      <c r="F19" s="108">
        <f t="shared" si="4"/>
        <v>5</v>
      </c>
      <c r="G19" s="112">
        <f t="shared" si="5"/>
        <v>173.59999998399999</v>
      </c>
      <c r="L19" s="108">
        <f>INDEX(Starter!A:A,ROW()-1)</f>
        <v>25378</v>
      </c>
      <c r="M19" s="108">
        <f>SUMIF(Erfassung2!BD:BD,L19,Erfassung2!BS:BS)</f>
        <v>935</v>
      </c>
      <c r="N19" s="108">
        <f>SUMIF(Erfassung2!BD:BD,L19,Erfassung2!BG:BG)</f>
        <v>5</v>
      </c>
      <c r="O19" s="108">
        <f t="shared" si="0"/>
        <v>186.999999981</v>
      </c>
      <c r="P19" s="108">
        <f t="shared" si="1"/>
        <v>6</v>
      </c>
    </row>
    <row r="20" spans="1:16" x14ac:dyDescent="0.2">
      <c r="A20" s="108">
        <f t="shared" si="6"/>
        <v>16</v>
      </c>
      <c r="B20" s="108">
        <f t="shared" si="2"/>
        <v>9936</v>
      </c>
      <c r="C20" s="108" t="str">
        <f>IFERROR(INDEX(Starter!B:B,MATCH(B20,Starter!A:A,0)),"")</f>
        <v>Fischer, Nick</v>
      </c>
      <c r="D20" s="108" t="str">
        <f>IFERROR(INDEX(Starter!C:C,MATCH(B20,Starter!A:A,0)),"")</f>
        <v>Kings Club Bayreuth</v>
      </c>
      <c r="E20" s="117">
        <f t="shared" si="3"/>
        <v>829</v>
      </c>
      <c r="F20" s="108">
        <f t="shared" si="4"/>
        <v>5</v>
      </c>
      <c r="G20" s="112">
        <f t="shared" si="5"/>
        <v>165.79999999100002</v>
      </c>
      <c r="L20" s="108">
        <f>INDEX(Starter!A:A,ROW()-1)</f>
        <v>7286</v>
      </c>
      <c r="M20" s="108">
        <f>SUMIF(Erfassung2!BD:BD,L20,Erfassung2!BS:BS)</f>
        <v>906</v>
      </c>
      <c r="N20" s="108">
        <f>SUMIF(Erfassung2!BD:BD,L20,Erfassung2!BG:BG)</f>
        <v>5</v>
      </c>
      <c r="O20" s="108">
        <f t="shared" si="0"/>
        <v>181.19999998</v>
      </c>
      <c r="P20" s="108">
        <f t="shared" si="1"/>
        <v>10</v>
      </c>
    </row>
    <row r="21" spans="1:16" x14ac:dyDescent="0.2">
      <c r="A21" s="108">
        <f t="shared" si="6"/>
        <v>17</v>
      </c>
      <c r="B21" s="108">
        <f t="shared" si="2"/>
        <v>7586</v>
      </c>
      <c r="C21" s="108" t="str">
        <f>IFERROR(INDEX(Starter!B:B,MATCH(B21,Starter!A:A,0)),"")</f>
        <v>Eichner, Karl</v>
      </c>
      <c r="D21" s="108" t="str">
        <f>IFERROR(INDEX(Starter!C:C,MATCH(B21,Starter!A:A,0)),"")</f>
        <v>Kings Club Bayreuth</v>
      </c>
      <c r="E21" s="117">
        <f t="shared" si="3"/>
        <v>827</v>
      </c>
      <c r="F21" s="108">
        <f t="shared" si="4"/>
        <v>5</v>
      </c>
      <c r="G21" s="112">
        <f t="shared" si="5"/>
        <v>165.39999999200001</v>
      </c>
      <c r="L21" s="108">
        <f>INDEX(Starter!A:A,ROW()-1)</f>
        <v>7283</v>
      </c>
      <c r="M21" s="108">
        <f>SUMIF(Erfassung2!BD:BD,L21,Erfassung2!BS:BS)</f>
        <v>485</v>
      </c>
      <c r="N21" s="108">
        <f>SUMIF(Erfassung2!BD:BD,L21,Erfassung2!BG:BG)</f>
        <v>3</v>
      </c>
      <c r="O21" s="108">
        <f t="shared" si="0"/>
        <v>161.66666664566665</v>
      </c>
      <c r="P21" s="108">
        <f t="shared" si="1"/>
        <v>20</v>
      </c>
    </row>
    <row r="22" spans="1:16" x14ac:dyDescent="0.2">
      <c r="A22" s="108">
        <f t="shared" si="6"/>
        <v>18</v>
      </c>
      <c r="B22" s="108">
        <f t="shared" si="2"/>
        <v>25479</v>
      </c>
      <c r="C22" s="108" t="str">
        <f>IFERROR(INDEX(Starter!B:B,MATCH(B22,Starter!A:A,0)),"")</f>
        <v>Theisen, Alexander</v>
      </c>
      <c r="D22" s="108" t="str">
        <f>IFERROR(INDEX(Starter!C:C,MATCH(B22,Starter!A:A,0)),"")</f>
        <v>Kings Club Bayreuth</v>
      </c>
      <c r="E22" s="117">
        <f t="shared" si="3"/>
        <v>819</v>
      </c>
      <c r="F22" s="108">
        <f t="shared" si="4"/>
        <v>5</v>
      </c>
      <c r="G22" s="112">
        <f t="shared" si="5"/>
        <v>163.79999999600003</v>
      </c>
      <c r="L22" s="108">
        <f>INDEX(Starter!A:A,ROW()-1)</f>
        <v>38046</v>
      </c>
      <c r="M22" s="108">
        <f>SUMIF(Erfassung2!BD:BD,L22,Erfassung2!BS:BS)</f>
        <v>938</v>
      </c>
      <c r="N22" s="108">
        <f>SUMIF(Erfassung2!BD:BD,L22,Erfassung2!BG:BG)</f>
        <v>5</v>
      </c>
      <c r="O22" s="108">
        <f t="shared" si="0"/>
        <v>187.599999978</v>
      </c>
      <c r="P22" s="108">
        <f t="shared" si="1"/>
        <v>5</v>
      </c>
    </row>
    <row r="23" spans="1:16" x14ac:dyDescent="0.2">
      <c r="A23" s="108">
        <f t="shared" si="6"/>
        <v>19</v>
      </c>
      <c r="B23" s="108">
        <f t="shared" si="2"/>
        <v>38570</v>
      </c>
      <c r="C23" s="108" t="str">
        <f>IFERROR(INDEX(Starter!B:B,MATCH(B23,Starter!A:A,0)),"")</f>
        <v>Bothe, Willi</v>
      </c>
      <c r="D23" s="108" t="str">
        <f>IFERROR(INDEX(Starter!C:C,MATCH(B23,Starter!A:A,0)),"")</f>
        <v>BC Castra Regina Regensburg</v>
      </c>
      <c r="E23" s="117">
        <f t="shared" si="3"/>
        <v>487</v>
      </c>
      <c r="F23" s="108">
        <f t="shared" si="4"/>
        <v>3</v>
      </c>
      <c r="G23" s="112">
        <f t="shared" si="5"/>
        <v>162.33333329833334</v>
      </c>
      <c r="L23" s="108">
        <f>INDEX(Starter!A:A,ROW()-1)</f>
        <v>38571</v>
      </c>
      <c r="M23" s="108">
        <f>SUMIF(Erfassung2!BD:BD,L23,Erfassung2!BS:BS)</f>
        <v>278</v>
      </c>
      <c r="N23" s="108">
        <f>SUMIF(Erfassung2!BD:BD,L23,Erfassung2!BG:BG)</f>
        <v>2</v>
      </c>
      <c r="O23" s="108">
        <f t="shared" si="0"/>
        <v>138.99999997699999</v>
      </c>
      <c r="P23" s="108">
        <f t="shared" si="1"/>
        <v>27</v>
      </c>
    </row>
    <row r="24" spans="1:16" x14ac:dyDescent="0.2">
      <c r="A24" s="108">
        <f t="shared" si="6"/>
        <v>20</v>
      </c>
      <c r="B24" s="108">
        <f t="shared" si="2"/>
        <v>7283</v>
      </c>
      <c r="C24" s="108" t="str">
        <f>IFERROR(INDEX(Starter!B:B,MATCH(B24,Starter!A:A,0)),"")</f>
        <v>Pichl, Jürgen</v>
      </c>
      <c r="D24" s="108" t="str">
        <f>IFERROR(INDEX(Starter!C:C,MATCH(B24,Starter!A:A,0)),"")</f>
        <v>BC Herzogenaurach</v>
      </c>
      <c r="E24" s="117">
        <f t="shared" si="3"/>
        <v>485</v>
      </c>
      <c r="F24" s="108">
        <f t="shared" si="4"/>
        <v>3</v>
      </c>
      <c r="G24" s="112">
        <f t="shared" si="5"/>
        <v>161.66666664566665</v>
      </c>
      <c r="L24" s="108">
        <f>INDEX(Starter!A:A,ROW()-1)</f>
        <v>38870</v>
      </c>
      <c r="M24" s="108">
        <f>SUMIF(Erfassung2!BD:BD,L24,Erfassung2!BS:BS)</f>
        <v>740</v>
      </c>
      <c r="N24" s="108">
        <f>SUMIF(Erfassung2!BD:BD,L24,Erfassung2!BG:BG)</f>
        <v>5</v>
      </c>
      <c r="O24" s="108">
        <f t="shared" si="0"/>
        <v>147.999999976</v>
      </c>
      <c r="P24" s="108">
        <f t="shared" si="1"/>
        <v>25</v>
      </c>
    </row>
    <row r="25" spans="1:16" x14ac:dyDescent="0.2">
      <c r="A25" s="108">
        <f t="shared" si="6"/>
        <v>21</v>
      </c>
      <c r="B25" s="108">
        <f t="shared" si="2"/>
        <v>25811</v>
      </c>
      <c r="C25" s="108" t="str">
        <f>IFERROR(INDEX(Starter!B:B,MATCH(B25,Starter!A:A,0)),"")</f>
        <v>Schmelzl, Werner</v>
      </c>
      <c r="D25" s="108" t="str">
        <f>IFERROR(INDEX(Starter!C:C,MATCH(B25,Starter!A:A,0)),"")</f>
        <v>BC Adler Nürnberg</v>
      </c>
      <c r="E25" s="117">
        <f t="shared" si="3"/>
        <v>807</v>
      </c>
      <c r="F25" s="108">
        <f t="shared" si="4"/>
        <v>5</v>
      </c>
      <c r="G25" s="112">
        <f t="shared" si="5"/>
        <v>161.39999996</v>
      </c>
      <c r="L25" s="108">
        <f>INDEX(Starter!A:A,ROW()-1)</f>
        <v>7809</v>
      </c>
      <c r="M25" s="108">
        <f>SUMIF(Erfassung2!BD:BD,L25,Erfassung2!BS:BS)</f>
        <v>0</v>
      </c>
      <c r="N25" s="108">
        <f>SUMIF(Erfassung2!BD:BD,L25,Erfassung2!BG:BG)</f>
        <v>0</v>
      </c>
      <c r="O25" s="108">
        <f t="shared" si="0"/>
        <v>0</v>
      </c>
      <c r="P25" s="108">
        <f t="shared" si="1"/>
        <v>29</v>
      </c>
    </row>
    <row r="26" spans="1:16" x14ac:dyDescent="0.2">
      <c r="A26" s="108">
        <f t="shared" si="6"/>
        <v>22</v>
      </c>
      <c r="B26" s="108">
        <f t="shared" si="2"/>
        <v>16897</v>
      </c>
      <c r="C26" s="108" t="str">
        <f>IFERROR(INDEX(Starter!B:B,MATCH(B26,Starter!A:A,0)),"")</f>
        <v>Hertel, Jürgen</v>
      </c>
      <c r="D26" s="108" t="str">
        <f>IFERROR(INDEX(Starter!C:C,MATCH(B26,Starter!A:A,0)),"")</f>
        <v>BC Herzogenaurach</v>
      </c>
      <c r="E26" s="117">
        <f t="shared" si="3"/>
        <v>305</v>
      </c>
      <c r="F26" s="108">
        <f t="shared" si="4"/>
        <v>2</v>
      </c>
      <c r="G26" s="112">
        <f t="shared" si="5"/>
        <v>152.49999995600001</v>
      </c>
      <c r="L26" s="108">
        <f>INDEX(Starter!A:A,ROW()-1)</f>
        <v>7814</v>
      </c>
      <c r="M26" s="108">
        <f>SUMIF(Erfassung2!BD:BD,L26,Erfassung2!BS:BS)</f>
        <v>949</v>
      </c>
      <c r="N26" s="108">
        <f>SUMIF(Erfassung2!BD:BD,L26,Erfassung2!BG:BG)</f>
        <v>5</v>
      </c>
      <c r="O26" s="108">
        <f t="shared" si="0"/>
        <v>189.799999974</v>
      </c>
      <c r="P26" s="108">
        <f t="shared" si="1"/>
        <v>3</v>
      </c>
    </row>
    <row r="27" spans="1:16" x14ac:dyDescent="0.2">
      <c r="A27" s="108">
        <f t="shared" si="6"/>
        <v>23</v>
      </c>
      <c r="B27" s="108">
        <f t="shared" si="2"/>
        <v>25944</v>
      </c>
      <c r="C27" s="108" t="str">
        <f>IFERROR(INDEX(Starter!B:B,MATCH(B27,Starter!A:A,0)),"")</f>
        <v>Kohl, Oswald</v>
      </c>
      <c r="D27" s="108" t="str">
        <f>IFERROR(INDEX(Starter!C:C,MATCH(B27,Starter!A:A,0)),"")</f>
        <v>BC Adler Nürnberg</v>
      </c>
      <c r="E27" s="117">
        <f t="shared" si="3"/>
        <v>453</v>
      </c>
      <c r="F27" s="108">
        <f t="shared" si="4"/>
        <v>3</v>
      </c>
      <c r="G27" s="112">
        <f t="shared" si="5"/>
        <v>150.99999995900001</v>
      </c>
      <c r="L27" s="108">
        <f>INDEX(Starter!A:A,ROW()-1)</f>
        <v>7813</v>
      </c>
      <c r="M27" s="108">
        <f>SUMIF(Erfassung2!BD:BD,L27,Erfassung2!BS:BS)</f>
        <v>995</v>
      </c>
      <c r="N27" s="108">
        <f>SUMIF(Erfassung2!BD:BD,L27,Erfassung2!BG:BG)</f>
        <v>5</v>
      </c>
      <c r="O27" s="108">
        <f t="shared" si="0"/>
        <v>198.999999973</v>
      </c>
      <c r="P27" s="108">
        <f t="shared" si="1"/>
        <v>1</v>
      </c>
    </row>
    <row r="28" spans="1:16" x14ac:dyDescent="0.2">
      <c r="A28" s="108">
        <f t="shared" si="6"/>
        <v>24</v>
      </c>
      <c r="B28" s="108">
        <f t="shared" si="2"/>
        <v>38869</v>
      </c>
      <c r="C28" s="108" t="str">
        <f>IFERROR(INDEX(Starter!B:B,MATCH(B28,Starter!A:A,0)),"")</f>
        <v>Simon, Diana</v>
      </c>
      <c r="D28" s="108" t="str">
        <f>IFERROR(INDEX(Starter!C:C,MATCH(B28,Starter!A:A,0)),"")</f>
        <v>BC Castra Regina Regensburg</v>
      </c>
      <c r="E28" s="117">
        <f t="shared" si="3"/>
        <v>300</v>
      </c>
      <c r="F28" s="108">
        <f t="shared" si="4"/>
        <v>2</v>
      </c>
      <c r="G28" s="112">
        <f t="shared" si="5"/>
        <v>149.999999968</v>
      </c>
      <c r="L28" s="108">
        <f>INDEX(Starter!A:A,ROW()-1)</f>
        <v>7730</v>
      </c>
      <c r="M28" s="108">
        <f>SUMIF(Erfassung2!BD:BD,L28,Erfassung2!BS:BS)</f>
        <v>0</v>
      </c>
      <c r="N28" s="108">
        <f>SUMIF(Erfassung2!BD:BD,L28,Erfassung2!BG:BG)</f>
        <v>0</v>
      </c>
      <c r="O28" s="108">
        <f t="shared" si="0"/>
        <v>0</v>
      </c>
      <c r="P28" s="108">
        <f t="shared" si="1"/>
        <v>29</v>
      </c>
    </row>
    <row r="29" spans="1:16" x14ac:dyDescent="0.2">
      <c r="A29" s="108">
        <f t="shared" si="6"/>
        <v>25</v>
      </c>
      <c r="B29" s="108">
        <f t="shared" si="2"/>
        <v>38870</v>
      </c>
      <c r="C29" s="108" t="str">
        <f>IFERROR(INDEX(Starter!B:B,MATCH(B29,Starter!A:A,0)),"")</f>
        <v>Martin, Dennis</v>
      </c>
      <c r="D29" s="108" t="str">
        <f>IFERROR(INDEX(Starter!C:C,MATCH(B29,Starter!A:A,0)),"")</f>
        <v>BC Castra Regina Regensburg</v>
      </c>
      <c r="E29" s="117">
        <f t="shared" si="3"/>
        <v>740</v>
      </c>
      <c r="F29" s="108">
        <f t="shared" si="4"/>
        <v>5</v>
      </c>
      <c r="G29" s="112">
        <f t="shared" si="5"/>
        <v>147.999999976</v>
      </c>
      <c r="L29" s="108">
        <f>INDEX(Starter!A:A,ROW()-1)</f>
        <v>25130</v>
      </c>
      <c r="M29" s="108">
        <f>SUMIF(Erfassung2!BD:BD,L29,Erfassung2!BS:BS)</f>
        <v>0</v>
      </c>
      <c r="N29" s="108">
        <f>SUMIF(Erfassung2!BD:BD,L29,Erfassung2!BG:BG)</f>
        <v>0</v>
      </c>
      <c r="O29" s="108">
        <f t="shared" si="0"/>
        <v>0</v>
      </c>
      <c r="P29" s="108">
        <f t="shared" si="1"/>
        <v>29</v>
      </c>
    </row>
    <row r="30" spans="1:16" x14ac:dyDescent="0.2">
      <c r="A30" s="108">
        <f t="shared" si="6"/>
        <v>26</v>
      </c>
      <c r="B30" s="108">
        <f t="shared" si="2"/>
        <v>7123</v>
      </c>
      <c r="C30" s="108" t="str">
        <f>IFERROR(INDEX(Starter!B:B,MATCH(B30,Starter!A:A,0)),"")</f>
        <v>Reichert, Roland</v>
      </c>
      <c r="D30" s="108" t="str">
        <f>IFERROR(INDEX(Starter!C:C,MATCH(B30,Starter!A:A,0)),"")</f>
        <v>Kings Club Bayreuth</v>
      </c>
      <c r="E30" s="117">
        <f t="shared" si="3"/>
        <v>734</v>
      </c>
      <c r="F30" s="108">
        <f t="shared" si="4"/>
        <v>5</v>
      </c>
      <c r="G30" s="112">
        <f t="shared" si="5"/>
        <v>146.79999999700001</v>
      </c>
      <c r="L30" s="108">
        <f>INDEX(Starter!A:A,ROW()-1)</f>
        <v>7854</v>
      </c>
      <c r="M30" s="108">
        <f>SUMIF(Erfassung2!BD:BD,L30,Erfassung2!BS:BS)</f>
        <v>0</v>
      </c>
      <c r="N30" s="108">
        <f>SUMIF(Erfassung2!BD:BD,L30,Erfassung2!BG:BG)</f>
        <v>0</v>
      </c>
      <c r="O30" s="108">
        <f t="shared" si="0"/>
        <v>0</v>
      </c>
      <c r="P30" s="108">
        <f t="shared" si="1"/>
        <v>29</v>
      </c>
    </row>
    <row r="31" spans="1:16" x14ac:dyDescent="0.2">
      <c r="A31" s="108">
        <f t="shared" si="6"/>
        <v>27</v>
      </c>
      <c r="B31" s="108">
        <f t="shared" si="2"/>
        <v>38571</v>
      </c>
      <c r="C31" s="108" t="str">
        <f>IFERROR(INDEX(Starter!B:B,MATCH(B31,Starter!A:A,0)),"")</f>
        <v>Simon, Steven</v>
      </c>
      <c r="D31" s="108" t="str">
        <f>IFERROR(INDEX(Starter!C:C,MATCH(B31,Starter!A:A,0)),"")</f>
        <v>BC Castra Regina Regensburg</v>
      </c>
      <c r="E31" s="117">
        <f t="shared" si="3"/>
        <v>278</v>
      </c>
      <c r="F31" s="108">
        <f t="shared" si="4"/>
        <v>2</v>
      </c>
      <c r="G31" s="112">
        <f t="shared" si="5"/>
        <v>138.99999997699999</v>
      </c>
      <c r="L31" s="108">
        <f>INDEX(Starter!A:A,ROW()-1)</f>
        <v>7849</v>
      </c>
      <c r="M31" s="108">
        <f>SUMIF(Erfassung2!BD:BD,L31,Erfassung2!BS:BS)</f>
        <v>0</v>
      </c>
      <c r="N31" s="108">
        <f>SUMIF(Erfassung2!BD:BD,L31,Erfassung2!BG:BG)</f>
        <v>0</v>
      </c>
      <c r="O31" s="108">
        <f t="shared" si="0"/>
        <v>0</v>
      </c>
      <c r="P31" s="108">
        <f t="shared" si="1"/>
        <v>29</v>
      </c>
    </row>
    <row r="32" spans="1:16" x14ac:dyDescent="0.2">
      <c r="A32" s="108">
        <f t="shared" si="6"/>
        <v>28</v>
      </c>
      <c r="B32" s="108">
        <f t="shared" si="2"/>
        <v>7761</v>
      </c>
      <c r="C32" s="108" t="str">
        <f>IFERROR(INDEX(Starter!B:B,MATCH(B32,Starter!A:A,0)),"")</f>
        <v>Schmitt, Peter</v>
      </c>
      <c r="D32" s="108" t="str">
        <f>IFERROR(INDEX(Starter!C:C,MATCH(B32,Starter!A:A,0)),"")</f>
        <v>BC Adler Nürnberg</v>
      </c>
      <c r="E32" s="117">
        <f t="shared" si="3"/>
        <v>274</v>
      </c>
      <c r="F32" s="108">
        <f t="shared" si="4"/>
        <v>2</v>
      </c>
      <c r="G32" s="112">
        <f t="shared" si="5"/>
        <v>136.999999962</v>
      </c>
      <c r="L32" s="108">
        <f>INDEX(Starter!A:A,ROW()-1)</f>
        <v>38869</v>
      </c>
      <c r="M32" s="108">
        <f>SUMIF(Erfassung2!BD:BD,L32,Erfassung2!BS:BS)</f>
        <v>300</v>
      </c>
      <c r="N32" s="108">
        <f>SUMIF(Erfassung2!BD:BD,L32,Erfassung2!BG:BG)</f>
        <v>2</v>
      </c>
      <c r="O32" s="108">
        <f t="shared" si="0"/>
        <v>149.999999968</v>
      </c>
      <c r="P32" s="108">
        <f t="shared" si="1"/>
        <v>24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SUMIF(Erfassung2!BD:BD,L33,Erfassung2!BS:BS)</f>
        <v>536</v>
      </c>
      <c r="N33" s="108">
        <f>SUMIF(Erfassung2!BD:BD,L33,Erfassung2!BG:BG)</f>
        <v>3</v>
      </c>
      <c r="O33" s="108">
        <f t="shared" si="0"/>
        <v>178.66666663366667</v>
      </c>
      <c r="P33" s="108">
        <f t="shared" si="1"/>
        <v>14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SUMIF(Erfassung2!BD:BD,L34,Erfassung2!BS:BS)</f>
        <v>0</v>
      </c>
      <c r="N34" s="108">
        <f>SUMIF(Erfassung2!BD:BD,L34,Erfassung2!BG:BG)</f>
        <v>0</v>
      </c>
      <c r="O34" s="108">
        <f t="shared" si="0"/>
        <v>0</v>
      </c>
      <c r="P34" s="108">
        <f t="shared" si="1"/>
        <v>29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SUMIF(Erfassung2!BD:BD,L35,Erfassung2!BS:BS)</f>
        <v>487</v>
      </c>
      <c r="N35" s="108">
        <f>SUMIF(Erfassung2!BD:BD,L35,Erfassung2!BG:BG)</f>
        <v>3</v>
      </c>
      <c r="O35" s="108">
        <f t="shared" si="0"/>
        <v>162.33333329833334</v>
      </c>
      <c r="P35" s="108">
        <f t="shared" si="1"/>
        <v>19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SUMIF(Erfassung2!BD:BD,L36,Erfassung2!BS:BS)</f>
        <v>969</v>
      </c>
      <c r="N36" s="108">
        <f>SUMIF(Erfassung2!BD:BD,L36,Erfassung2!BG:BG)</f>
        <v>5</v>
      </c>
      <c r="O36" s="108">
        <f t="shared" si="0"/>
        <v>193.79999996400002</v>
      </c>
      <c r="P36" s="108">
        <f t="shared" si="1"/>
        <v>2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SUMIF(Erfassung2!BD:BD,L37,Erfassung2!BS:BS)</f>
        <v>919</v>
      </c>
      <c r="N37" s="108">
        <f>SUMIF(Erfassung2!BD:BD,L37,Erfassung2!BG:BG)</f>
        <v>5</v>
      </c>
      <c r="O37" s="108">
        <f t="shared" si="0"/>
        <v>183.799999963</v>
      </c>
      <c r="P37" s="108">
        <f t="shared" si="1"/>
        <v>7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SUMIF(Erfassung2!BD:BD,L38,Erfassung2!BS:BS)</f>
        <v>274</v>
      </c>
      <c r="N38" s="108">
        <f>SUMIF(Erfassung2!BD:BD,L38,Erfassung2!BG:BG)</f>
        <v>2</v>
      </c>
      <c r="O38" s="108">
        <f t="shared" si="0"/>
        <v>136.999999962</v>
      </c>
      <c r="P38" s="108">
        <f t="shared" si="1"/>
        <v>28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SUMIF(Erfassung2!BD:BD,L39,Erfassung2!BS:BS)</f>
        <v>904</v>
      </c>
      <c r="N39" s="108">
        <f>SUMIF(Erfassung2!BD:BD,L39,Erfassung2!BG:BG)</f>
        <v>5</v>
      </c>
      <c r="O39" s="108">
        <f t="shared" si="0"/>
        <v>180.799999961</v>
      </c>
      <c r="P39" s="108">
        <f t="shared" si="1"/>
        <v>12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SUMIF(Erfassung2!BD:BD,L40,Erfassung2!BS:BS)</f>
        <v>807</v>
      </c>
      <c r="N40" s="108">
        <f>SUMIF(Erfassung2!BD:BD,L40,Erfassung2!BG:BG)</f>
        <v>5</v>
      </c>
      <c r="O40" s="108">
        <f t="shared" si="0"/>
        <v>161.39999996</v>
      </c>
      <c r="P40" s="108">
        <f t="shared" si="1"/>
        <v>21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SUMIF(Erfassung2!BD:BD,L41,Erfassung2!BS:BS)</f>
        <v>453</v>
      </c>
      <c r="N41" s="108">
        <f>SUMIF(Erfassung2!BD:BD,L41,Erfassung2!BG:BG)</f>
        <v>3</v>
      </c>
      <c r="O41" s="108">
        <f t="shared" si="0"/>
        <v>150.99999995900001</v>
      </c>
      <c r="P41" s="108">
        <f t="shared" si="1"/>
        <v>23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SUMIF(Erfassung2!BD:BD,L42,Erfassung2!BS:BS)</f>
        <v>904</v>
      </c>
      <c r="N42" s="108">
        <f>SUMIF(Erfassung2!BD:BD,L42,Erfassung2!BG:BG)</f>
        <v>5</v>
      </c>
      <c r="O42" s="108">
        <f t="shared" si="0"/>
        <v>180.799999958</v>
      </c>
      <c r="P42" s="108">
        <f t="shared" si="1"/>
        <v>13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SUMIF(Erfassung2!BD:BD,L43,Erfassung2!BS:BS)</f>
        <v>949</v>
      </c>
      <c r="N43" s="108">
        <f>SUMIF(Erfassung2!BD:BD,L43,Erfassung2!BG:BG)</f>
        <v>5</v>
      </c>
      <c r="O43" s="108">
        <f t="shared" si="0"/>
        <v>189.79999995700001</v>
      </c>
      <c r="P43" s="108">
        <f t="shared" si="1"/>
        <v>4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SUMIF(Erfassung2!BD:BD,L44,Erfassung2!BS:BS)</f>
        <v>305</v>
      </c>
      <c r="N44" s="108">
        <f>SUMIF(Erfassung2!BD:BD,L44,Erfassung2!BG:BG)</f>
        <v>2</v>
      </c>
      <c r="O44" s="108">
        <f t="shared" si="0"/>
        <v>152.49999995600001</v>
      </c>
      <c r="P44" s="108">
        <f t="shared" si="1"/>
        <v>22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SUMIF(Erfassung2!BD:BD,L45,Erfassung2!BS:BS)</f>
        <v>0</v>
      </c>
      <c r="N45" s="108">
        <f>SUMIF(Erfassung2!BD:BD,L45,Erfassung2!BG:BG)</f>
        <v>0</v>
      </c>
      <c r="O45" s="108">
        <f t="shared" si="0"/>
        <v>0</v>
      </c>
      <c r="P45" s="108">
        <f t="shared" si="1"/>
        <v>29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SUMIF(Erfassung2!BD:BD,L46,Erfassung2!BS:BS)</f>
        <v>0</v>
      </c>
      <c r="N46" s="108">
        <f>SUMIF(Erfassung2!BD:BD,L46,Erfassung2!BG:BG)</f>
        <v>0</v>
      </c>
      <c r="O46" s="108">
        <f t="shared" si="0"/>
        <v>0</v>
      </c>
      <c r="P46" s="108">
        <f t="shared" si="1"/>
        <v>29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SUMIF(Erfassung2!BD:BD,L47,Erfassung2!BS:BS)</f>
        <v>0</v>
      </c>
      <c r="N47" s="108">
        <f>SUMIF(Erfassung2!BD:BD,L47,Erfassung2!BG:BG)</f>
        <v>0</v>
      </c>
      <c r="O47" s="108">
        <f t="shared" si="0"/>
        <v>0</v>
      </c>
      <c r="P47" s="108">
        <f t="shared" si="1"/>
        <v>29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SUMIF(Erfassung2!BD:BD,L48,Erfassung2!BS:BS)</f>
        <v>0</v>
      </c>
      <c r="N48" s="108">
        <f>SUMIF(Erfassung2!BD:BD,L48,Erfassung2!BG:BG)</f>
        <v>0</v>
      </c>
      <c r="O48" s="108">
        <f t="shared" si="0"/>
        <v>0</v>
      </c>
      <c r="P48" s="108">
        <f t="shared" si="1"/>
        <v>29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SUMIF(Erfassung2!BD:BD,L49,Erfassung2!BS:BS)</f>
        <v>0</v>
      </c>
      <c r="N49" s="108">
        <f>SUMIF(Erfassung2!BD:BD,L49,Erfassung2!BG:BG)</f>
        <v>0</v>
      </c>
      <c r="O49" s="108">
        <f t="shared" si="0"/>
        <v>0</v>
      </c>
      <c r="P49" s="108">
        <f t="shared" si="1"/>
        <v>29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SUMIF(Erfassung2!BD:BD,L50,Erfassung2!BS:BS)</f>
        <v>0</v>
      </c>
      <c r="N50" s="108">
        <f>SUMIF(Erfassung2!BD:BD,L50,Erfassung2!BG:BG)</f>
        <v>0</v>
      </c>
      <c r="O50" s="108">
        <f t="shared" si="0"/>
        <v>0</v>
      </c>
      <c r="P50" s="108">
        <f t="shared" si="1"/>
        <v>29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SUMIF(Erfassung2!BD:BD,L51,Erfassung2!BS:BS)</f>
        <v>0</v>
      </c>
      <c r="N51" s="108">
        <f>SUMIF(Erfassung2!BD:BD,L51,Erfassung2!BG:BG)</f>
        <v>0</v>
      </c>
      <c r="O51" s="108">
        <f t="shared" si="0"/>
        <v>0</v>
      </c>
      <c r="P51" s="108">
        <f t="shared" si="1"/>
        <v>29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SUMIF(Erfassung2!BD:BD,L52,Erfassung2!BS:BS)</f>
        <v>0</v>
      </c>
      <c r="N52" s="108">
        <f>SUMIF(Erfassung2!BD:BD,L52,Erfassung2!BG:BG)</f>
        <v>0</v>
      </c>
      <c r="O52" s="108">
        <f t="shared" si="0"/>
        <v>0</v>
      </c>
      <c r="P52" s="108">
        <f t="shared" si="1"/>
        <v>29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SUMIF(Erfassung2!BD:BD,L53,Erfassung2!BS:BS)</f>
        <v>0</v>
      </c>
      <c r="N53" s="108">
        <f>SUMIF(Erfassung2!BD:BD,L53,Erfassung2!BG:BG)</f>
        <v>0</v>
      </c>
      <c r="O53" s="108">
        <f t="shared" si="0"/>
        <v>0</v>
      </c>
      <c r="P53" s="108">
        <f t="shared" si="1"/>
        <v>29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SUMIF(Erfassung2!BD:BD,L54,Erfassung2!BS:BS)</f>
        <v>0</v>
      </c>
      <c r="N54" s="108">
        <f>SUMIF(Erfassung2!BD:BD,L54,Erfassung2!BG:BG)</f>
        <v>0</v>
      </c>
      <c r="O54" s="108">
        <f t="shared" si="0"/>
        <v>0</v>
      </c>
      <c r="P54" s="108">
        <f t="shared" si="1"/>
        <v>29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SUMIF(Erfassung2!BD:BD,L55,Erfassung2!BS:BS)</f>
        <v>0</v>
      </c>
      <c r="N55" s="108">
        <f>SUMIF(Erfassung2!BD:BD,L55,Erfassung2!BG:BG)</f>
        <v>0</v>
      </c>
      <c r="O55" s="108">
        <f t="shared" si="0"/>
        <v>0</v>
      </c>
      <c r="P55" s="108">
        <f t="shared" si="1"/>
        <v>29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SUMIF(Erfassung2!BD:BD,L56,Erfassung2!BS:BS)</f>
        <v>0</v>
      </c>
      <c r="N56" s="108">
        <f>SUMIF(Erfassung2!BD:BD,L56,Erfassung2!BG:BG)</f>
        <v>0</v>
      </c>
      <c r="O56" s="108">
        <f t="shared" si="0"/>
        <v>0</v>
      </c>
      <c r="P56" s="108">
        <f t="shared" si="1"/>
        <v>29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SUMIF(Erfassung2!BD:BD,L57,Erfassung2!BS:BS)</f>
        <v>0</v>
      </c>
      <c r="N57" s="108">
        <f>SUMIF(Erfassung2!BD:BD,L57,Erfassung2!BG:BG)</f>
        <v>0</v>
      </c>
      <c r="O57" s="108">
        <f t="shared" si="0"/>
        <v>0</v>
      </c>
      <c r="P57" s="108">
        <f t="shared" si="1"/>
        <v>29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SUMIF(Erfassung2!BD:BD,L58,Erfassung2!BS:BS)</f>
        <v>0</v>
      </c>
      <c r="N58" s="108">
        <f>SUMIF(Erfassung2!BD:BD,L58,Erfassung2!BG:BG)</f>
        <v>0</v>
      </c>
      <c r="O58" s="108">
        <f t="shared" si="0"/>
        <v>0</v>
      </c>
      <c r="P58" s="108">
        <f t="shared" si="1"/>
        <v>29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SUMIF(Erfassung2!BD:BD,L59,Erfassung2!BS:BS)</f>
        <v>0</v>
      </c>
      <c r="N59" s="108">
        <f>SUMIF(Erfassung2!BD:BD,L59,Erfassung2!BG:BG)</f>
        <v>0</v>
      </c>
      <c r="O59" s="108">
        <f t="shared" si="0"/>
        <v>0</v>
      </c>
      <c r="P59" s="108">
        <f t="shared" si="1"/>
        <v>29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SUMIF(Erfassung2!BD:BD,L60,Erfassung2!BS:BS)</f>
        <v>0</v>
      </c>
      <c r="N60" s="108">
        <f>SUMIF(Erfassung2!BD:BD,L60,Erfassung2!BG:BG)</f>
        <v>0</v>
      </c>
      <c r="O60" s="108">
        <f t="shared" si="0"/>
        <v>0</v>
      </c>
      <c r="P60" s="108">
        <f t="shared" si="1"/>
        <v>29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SUMIF(Erfassung2!BD:BD,L61,Erfassung2!BS:BS)</f>
        <v>0</v>
      </c>
      <c r="N61" s="108">
        <f>SUMIF(Erfassung2!BD:BD,L61,Erfassung2!BG:BG)</f>
        <v>0</v>
      </c>
      <c r="O61" s="108">
        <f t="shared" si="0"/>
        <v>0</v>
      </c>
      <c r="P61" s="108">
        <f t="shared" si="1"/>
        <v>29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SUMIF(Erfassung2!BD:BD,L62,Erfassung2!BS:BS)</f>
        <v>0</v>
      </c>
      <c r="N62" s="108">
        <f>SUMIF(Erfassung2!BD:BD,L62,Erfassung2!BG:BG)</f>
        <v>0</v>
      </c>
      <c r="O62" s="108">
        <f t="shared" si="0"/>
        <v>0</v>
      </c>
      <c r="P62" s="108">
        <f t="shared" si="1"/>
        <v>29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SUMIF(Erfassung2!BD:BD,L63,Erfassung2!BS:BS)</f>
        <v>0</v>
      </c>
      <c r="N63" s="108">
        <f>SUMIF(Erfassung2!BD:BD,L63,Erfassung2!BG:BG)</f>
        <v>0</v>
      </c>
      <c r="O63" s="108">
        <f t="shared" si="0"/>
        <v>0</v>
      </c>
      <c r="P63" s="108">
        <f t="shared" si="1"/>
        <v>29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SUMIF(Erfassung2!BD:BD,L64,Erfassung2!BS:BS)</f>
        <v>0</v>
      </c>
      <c r="N64" s="108">
        <f>SUMIF(Erfassung2!BD:BD,L64,Erfassung2!BG:BG)</f>
        <v>0</v>
      </c>
      <c r="O64" s="108">
        <f t="shared" si="0"/>
        <v>0</v>
      </c>
      <c r="P64" s="108">
        <f t="shared" si="1"/>
        <v>29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SUMIF(Erfassung2!BD:BD,L65,Erfassung2!BS:BS)</f>
        <v>0</v>
      </c>
      <c r="N65" s="108">
        <f>SUMIF(Erfassung2!BD:BD,L65,Erfassung2!BG:BG)</f>
        <v>0</v>
      </c>
      <c r="O65" s="108">
        <f t="shared" si="0"/>
        <v>0</v>
      </c>
      <c r="P65" s="108">
        <f t="shared" si="1"/>
        <v>29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SUMIF(Erfassung2!BD:BD,L66,Erfassung2!BS:BS)</f>
        <v>0</v>
      </c>
      <c r="N66" s="108">
        <f>SUMIF(Erfassung2!BD:BD,L66,Erfassung2!BG:BG)</f>
        <v>0</v>
      </c>
      <c r="O66" s="108">
        <f t="shared" si="0"/>
        <v>0</v>
      </c>
      <c r="P66" s="108">
        <f t="shared" si="1"/>
        <v>29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SUMIF(Erfassung2!BD:BD,L67,Erfassung2!BS:BS)</f>
        <v>0</v>
      </c>
      <c r="N67" s="108">
        <f>SUMIF(Erfassung2!BD:BD,L67,Erfassung2!BG:BG)</f>
        <v>0</v>
      </c>
      <c r="O67" s="108">
        <f t="shared" ref="O67:O104" si="7">IF(N67=0,0,M67/N67-ROW()/1000000000)</f>
        <v>0</v>
      </c>
      <c r="P67" s="108">
        <f t="shared" ref="P67:P104" si="8">RANK(O67,O:O)</f>
        <v>29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SUMIF(Erfassung2!BD:BD,L68,Erfassung2!BS:BS)</f>
        <v>0</v>
      </c>
      <c r="N68" s="108">
        <f>SUMIF(Erfassung2!BD:BD,L68,Erfassung2!BG:BG)</f>
        <v>0</v>
      </c>
      <c r="O68" s="108">
        <f t="shared" si="7"/>
        <v>0</v>
      </c>
      <c r="P68" s="108">
        <f t="shared" si="8"/>
        <v>29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SUMIF(Erfassung2!BD:BD,L69,Erfassung2!BS:BS)</f>
        <v>0</v>
      </c>
      <c r="N69" s="108">
        <f>SUMIF(Erfassung2!BD:BD,L69,Erfassung2!BG:BG)</f>
        <v>0</v>
      </c>
      <c r="O69" s="108">
        <f t="shared" si="7"/>
        <v>0</v>
      </c>
      <c r="P69" s="108">
        <f t="shared" si="8"/>
        <v>29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SUMIF(Erfassung2!BD:BD,L70,Erfassung2!BS:BS)</f>
        <v>0</v>
      </c>
      <c r="N70" s="108">
        <f>SUMIF(Erfassung2!BD:BD,L70,Erfassung2!BG:BG)</f>
        <v>0</v>
      </c>
      <c r="O70" s="108">
        <f t="shared" si="7"/>
        <v>0</v>
      </c>
      <c r="P70" s="108">
        <f t="shared" si="8"/>
        <v>29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SUMIF(Erfassung2!BD:BD,L71,Erfassung2!BS:BS)</f>
        <v>0</v>
      </c>
      <c r="N71" s="108">
        <f>SUMIF(Erfassung2!BD:BD,L71,Erfassung2!BG:BG)</f>
        <v>0</v>
      </c>
      <c r="O71" s="108">
        <f t="shared" si="7"/>
        <v>0</v>
      </c>
      <c r="P71" s="108">
        <f t="shared" si="8"/>
        <v>29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SUMIF(Erfassung2!BD:BD,L72,Erfassung2!BS:BS)</f>
        <v>0</v>
      </c>
      <c r="N72" s="108">
        <f>SUMIF(Erfassung2!BD:BD,L72,Erfassung2!BG:BG)</f>
        <v>0</v>
      </c>
      <c r="O72" s="108">
        <f t="shared" si="7"/>
        <v>0</v>
      </c>
      <c r="P72" s="108">
        <f t="shared" si="8"/>
        <v>29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SUMIF(Erfassung2!BD:BD,L73,Erfassung2!BS:BS)</f>
        <v>0</v>
      </c>
      <c r="N73" s="108">
        <f>SUMIF(Erfassung2!BD:BD,L73,Erfassung2!BG:BG)</f>
        <v>0</v>
      </c>
      <c r="O73" s="108">
        <f t="shared" si="7"/>
        <v>0</v>
      </c>
      <c r="P73" s="108">
        <f t="shared" si="8"/>
        <v>29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SUMIF(Erfassung2!BD:BD,L74,Erfassung2!BS:BS)</f>
        <v>0</v>
      </c>
      <c r="N74" s="108">
        <f>SUMIF(Erfassung2!BD:BD,L74,Erfassung2!BG:BG)</f>
        <v>0</v>
      </c>
      <c r="O74" s="108">
        <f t="shared" si="7"/>
        <v>0</v>
      </c>
      <c r="P74" s="108">
        <f t="shared" si="8"/>
        <v>29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SUMIF(Erfassung2!BD:BD,L75,Erfassung2!BS:BS)</f>
        <v>0</v>
      </c>
      <c r="N75" s="108">
        <f>SUMIF(Erfassung2!BD:BD,L75,Erfassung2!BG:BG)</f>
        <v>0</v>
      </c>
      <c r="O75" s="108">
        <f t="shared" si="7"/>
        <v>0</v>
      </c>
      <c r="P75" s="108">
        <f t="shared" si="8"/>
        <v>29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SUMIF(Erfassung2!BD:BD,L76,Erfassung2!BS:BS)</f>
        <v>0</v>
      </c>
      <c r="N76" s="108">
        <f>SUMIF(Erfassung2!BD:BD,L76,Erfassung2!BG:BG)</f>
        <v>0</v>
      </c>
      <c r="O76" s="108">
        <f t="shared" si="7"/>
        <v>0</v>
      </c>
      <c r="P76" s="108">
        <f t="shared" si="8"/>
        <v>29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SUMIF(Erfassung2!BD:BD,L77,Erfassung2!BS:BS)</f>
        <v>0</v>
      </c>
      <c r="N77" s="108">
        <f>SUMIF(Erfassung2!BD:BD,L77,Erfassung2!BG:BG)</f>
        <v>0</v>
      </c>
      <c r="O77" s="108">
        <f t="shared" si="7"/>
        <v>0</v>
      </c>
      <c r="P77" s="108">
        <f t="shared" si="8"/>
        <v>29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SUMIF(Erfassung2!BD:BD,L78,Erfassung2!BS:BS)</f>
        <v>0</v>
      </c>
      <c r="N78" s="108">
        <f>SUMIF(Erfassung2!BD:BD,L78,Erfassung2!BG:BG)</f>
        <v>0</v>
      </c>
      <c r="O78" s="108">
        <f t="shared" si="7"/>
        <v>0</v>
      </c>
      <c r="P78" s="108">
        <f t="shared" si="8"/>
        <v>29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SUMIF(Erfassung2!BD:BD,L79,Erfassung2!BS:BS)</f>
        <v>0</v>
      </c>
      <c r="N79" s="108">
        <f>SUMIF(Erfassung2!BD:BD,L79,Erfassung2!BG:BG)</f>
        <v>0</v>
      </c>
      <c r="O79" s="108">
        <f t="shared" si="7"/>
        <v>0</v>
      </c>
      <c r="P79" s="108">
        <f t="shared" si="8"/>
        <v>29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SUMIF(Erfassung2!BD:BD,L80,Erfassung2!BS:BS)</f>
        <v>0</v>
      </c>
      <c r="N80" s="108">
        <f>SUMIF(Erfassung2!BD:BD,L80,Erfassung2!BG:BG)</f>
        <v>0</v>
      </c>
      <c r="O80" s="108">
        <f t="shared" si="7"/>
        <v>0</v>
      </c>
      <c r="P80" s="108">
        <f t="shared" si="8"/>
        <v>29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SUMIF(Erfassung2!BD:BD,L81,Erfassung2!BS:BS)</f>
        <v>0</v>
      </c>
      <c r="N81" s="108">
        <f>SUMIF(Erfassung2!BD:BD,L81,Erfassung2!BG:BG)</f>
        <v>0</v>
      </c>
      <c r="O81" s="108">
        <f t="shared" si="7"/>
        <v>0</v>
      </c>
      <c r="P81" s="108">
        <f t="shared" si="8"/>
        <v>29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SUMIF(Erfassung2!BD:BD,L82,Erfassung2!BS:BS)</f>
        <v>0</v>
      </c>
      <c r="N82" s="108">
        <f>SUMIF(Erfassung2!BD:BD,L82,Erfassung2!BG:BG)</f>
        <v>0</v>
      </c>
      <c r="O82" s="108">
        <f t="shared" si="7"/>
        <v>0</v>
      </c>
      <c r="P82" s="108">
        <f t="shared" si="8"/>
        <v>29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SUMIF(Erfassung2!BD:BD,L83,Erfassung2!BS:BS)</f>
        <v>0</v>
      </c>
      <c r="N83" s="108">
        <f>SUMIF(Erfassung2!BD:BD,L83,Erfassung2!BG:BG)</f>
        <v>0</v>
      </c>
      <c r="O83" s="108">
        <f t="shared" si="7"/>
        <v>0</v>
      </c>
      <c r="P83" s="108">
        <f t="shared" si="8"/>
        <v>29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SUMIF(Erfassung2!BD:BD,L84,Erfassung2!BS:BS)</f>
        <v>0</v>
      </c>
      <c r="N84" s="108">
        <f>SUMIF(Erfassung2!BD:BD,L84,Erfassung2!BG:BG)</f>
        <v>0</v>
      </c>
      <c r="O84" s="108">
        <f t="shared" si="7"/>
        <v>0</v>
      </c>
      <c r="P84" s="108">
        <f t="shared" si="8"/>
        <v>29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SUMIF(Erfassung2!BD:BD,L85,Erfassung2!BS:BS)</f>
        <v>0</v>
      </c>
      <c r="N85" s="108">
        <f>SUMIF(Erfassung2!BD:BD,L85,Erfassung2!BG:BG)</f>
        <v>0</v>
      </c>
      <c r="O85" s="108">
        <f t="shared" si="7"/>
        <v>0</v>
      </c>
      <c r="P85" s="108">
        <f t="shared" si="8"/>
        <v>29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SUMIF(Erfassung2!BD:BD,L86,Erfassung2!BS:BS)</f>
        <v>0</v>
      </c>
      <c r="N86" s="108">
        <f>SUMIF(Erfassung2!BD:BD,L86,Erfassung2!BG:BG)</f>
        <v>0</v>
      </c>
      <c r="O86" s="108">
        <f t="shared" si="7"/>
        <v>0</v>
      </c>
      <c r="P86" s="108">
        <f t="shared" si="8"/>
        <v>29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SUMIF(Erfassung2!BD:BD,L87,Erfassung2!BS:BS)</f>
        <v>0</v>
      </c>
      <c r="N87" s="108">
        <f>SUMIF(Erfassung2!BD:BD,L87,Erfassung2!BG:BG)</f>
        <v>0</v>
      </c>
      <c r="O87" s="108">
        <f t="shared" si="7"/>
        <v>0</v>
      </c>
      <c r="P87" s="108">
        <f t="shared" si="8"/>
        <v>29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SUMIF(Erfassung2!BD:BD,L88,Erfassung2!BS:BS)</f>
        <v>0</v>
      </c>
      <c r="N88" s="108">
        <f>SUMIF(Erfassung2!BD:BD,L88,Erfassung2!BG:BG)</f>
        <v>0</v>
      </c>
      <c r="O88" s="108">
        <f t="shared" si="7"/>
        <v>0</v>
      </c>
      <c r="P88" s="108">
        <f t="shared" si="8"/>
        <v>29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SUMIF(Erfassung2!BD:BD,L89,Erfassung2!BS:BS)</f>
        <v>0</v>
      </c>
      <c r="N89" s="108">
        <f>SUMIF(Erfassung2!BD:BD,L89,Erfassung2!BG:BG)</f>
        <v>0</v>
      </c>
      <c r="O89" s="108">
        <f t="shared" si="7"/>
        <v>0</v>
      </c>
      <c r="P89" s="108">
        <f t="shared" si="8"/>
        <v>29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SUMIF(Erfassung2!BD:BD,L90,Erfassung2!BS:BS)</f>
        <v>0</v>
      </c>
      <c r="N90" s="108">
        <f>SUMIF(Erfassung2!BD:BD,L90,Erfassung2!BG:BG)</f>
        <v>0</v>
      </c>
      <c r="O90" s="108">
        <f t="shared" si="7"/>
        <v>0</v>
      </c>
      <c r="P90" s="108">
        <f t="shared" si="8"/>
        <v>29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SUMIF(Erfassung2!BD:BD,L91,Erfassung2!BS:BS)</f>
        <v>0</v>
      </c>
      <c r="N91" s="108">
        <f>SUMIF(Erfassung2!BD:BD,L91,Erfassung2!BG:BG)</f>
        <v>0</v>
      </c>
      <c r="O91" s="108">
        <f t="shared" si="7"/>
        <v>0</v>
      </c>
      <c r="P91" s="108">
        <f t="shared" si="8"/>
        <v>29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SUMIF(Erfassung2!BD:BD,L92,Erfassung2!BS:BS)</f>
        <v>0</v>
      </c>
      <c r="N92" s="108">
        <f>SUMIF(Erfassung2!BD:BD,L92,Erfassung2!BG:BG)</f>
        <v>0</v>
      </c>
      <c r="O92" s="108">
        <f t="shared" si="7"/>
        <v>0</v>
      </c>
      <c r="P92" s="108">
        <f t="shared" si="8"/>
        <v>29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SUMIF(Erfassung2!BD:BD,L93,Erfassung2!BS:BS)</f>
        <v>0</v>
      </c>
      <c r="N93" s="108">
        <f>SUMIF(Erfassung2!BD:BD,L93,Erfassung2!BG:BG)</f>
        <v>0</v>
      </c>
      <c r="O93" s="108">
        <f t="shared" si="7"/>
        <v>0</v>
      </c>
      <c r="P93" s="108">
        <f t="shared" si="8"/>
        <v>29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SUMIF(Erfassung2!BD:BD,L94,Erfassung2!BS:BS)</f>
        <v>0</v>
      </c>
      <c r="N94" s="108">
        <f>SUMIF(Erfassung2!BD:BD,L94,Erfassung2!BG:BG)</f>
        <v>0</v>
      </c>
      <c r="O94" s="108">
        <f t="shared" si="7"/>
        <v>0</v>
      </c>
      <c r="P94" s="108">
        <f t="shared" si="8"/>
        <v>29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SUMIF(Erfassung2!BD:BD,L95,Erfassung2!BS:BS)</f>
        <v>0</v>
      </c>
      <c r="N95" s="108">
        <f>SUMIF(Erfassung2!BD:BD,L95,Erfassung2!BG:BG)</f>
        <v>0</v>
      </c>
      <c r="O95" s="108">
        <f t="shared" si="7"/>
        <v>0</v>
      </c>
      <c r="P95" s="108">
        <f t="shared" si="8"/>
        <v>29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SUMIF(Erfassung2!BD:BD,L96,Erfassung2!BS:BS)</f>
        <v>0</v>
      </c>
      <c r="N96" s="108">
        <f>SUMIF(Erfassung2!BD:BD,L96,Erfassung2!BG:BG)</f>
        <v>0</v>
      </c>
      <c r="O96" s="108">
        <f t="shared" si="7"/>
        <v>0</v>
      </c>
      <c r="P96" s="108">
        <f t="shared" si="8"/>
        <v>29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SUMIF(Erfassung2!BD:BD,L97,Erfassung2!BS:BS)</f>
        <v>0</v>
      </c>
      <c r="N97" s="108">
        <f>SUMIF(Erfassung2!BD:BD,L97,Erfassung2!BG:BG)</f>
        <v>0</v>
      </c>
      <c r="O97" s="108">
        <f t="shared" si="7"/>
        <v>0</v>
      </c>
      <c r="P97" s="108">
        <f t="shared" si="8"/>
        <v>29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SUMIF(Erfassung2!BD:BD,L98,Erfassung2!BS:BS)</f>
        <v>0</v>
      </c>
      <c r="N98" s="108">
        <f>SUMIF(Erfassung2!BD:BD,L98,Erfassung2!BG:BG)</f>
        <v>0</v>
      </c>
      <c r="O98" s="108">
        <f t="shared" si="7"/>
        <v>0</v>
      </c>
      <c r="P98" s="108">
        <f t="shared" si="8"/>
        <v>29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SUMIF(Erfassung2!BD:BD,L99,Erfassung2!BS:BS)</f>
        <v>0</v>
      </c>
      <c r="N99" s="108">
        <f>SUMIF(Erfassung2!BD:BD,L99,Erfassung2!BG:BG)</f>
        <v>0</v>
      </c>
      <c r="O99" s="108">
        <f t="shared" si="7"/>
        <v>0</v>
      </c>
      <c r="P99" s="108">
        <f t="shared" si="8"/>
        <v>29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SUMIF(Erfassung2!BD:BD,L100,Erfassung2!BS:BS)</f>
        <v>0</v>
      </c>
      <c r="N100" s="108">
        <f>SUMIF(Erfassung2!BD:BD,L100,Erfassung2!BG:BG)</f>
        <v>0</v>
      </c>
      <c r="O100" s="108">
        <f t="shared" si="7"/>
        <v>0</v>
      </c>
      <c r="P100" s="108">
        <f t="shared" si="8"/>
        <v>29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SUMIF(Erfassung2!BD:BD,L101,Erfassung2!BS:BS)</f>
        <v>0</v>
      </c>
      <c r="N101" s="108">
        <f>SUMIF(Erfassung2!BD:BD,L101,Erfassung2!BG:BG)</f>
        <v>0</v>
      </c>
      <c r="O101" s="108">
        <f t="shared" si="7"/>
        <v>0</v>
      </c>
      <c r="P101" s="108">
        <f t="shared" si="8"/>
        <v>29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SUMIF(Erfassung2!BD:BD,L102,Erfassung2!BS:BS)</f>
        <v>0</v>
      </c>
      <c r="N102" s="108">
        <f>SUMIF(Erfassung2!BD:BD,L102,Erfassung2!BG:BG)</f>
        <v>0</v>
      </c>
      <c r="O102" s="108">
        <f t="shared" si="7"/>
        <v>0</v>
      </c>
      <c r="P102" s="108">
        <f t="shared" si="8"/>
        <v>29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SUMIF(Erfassung2!BD:BD,L103,Erfassung2!BS:BS)</f>
        <v>0</v>
      </c>
      <c r="N103" s="108">
        <f>SUMIF(Erfassung2!BD:BD,L103,Erfassung2!BG:BG)</f>
        <v>0</v>
      </c>
      <c r="O103" s="108">
        <f t="shared" si="7"/>
        <v>0</v>
      </c>
      <c r="P103" s="108">
        <f t="shared" si="8"/>
        <v>29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SUMIF(Erfassung2!BD:BD,L104,Erfassung2!BS:BS)</f>
        <v>0</v>
      </c>
      <c r="N104" s="108">
        <f>SUMIF(Erfassung2!BD:BD,L104,Erfassung2!BG:BG)</f>
        <v>0</v>
      </c>
      <c r="O104" s="108">
        <f t="shared" si="7"/>
        <v>0</v>
      </c>
      <c r="P104" s="108">
        <f t="shared" si="8"/>
        <v>29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1D05E-3A7C-4EE9-8D61-76EBCFBE6876}">
  <sheetPr>
    <tabColor rgb="FF7030A0"/>
    <pageSetUpPr fitToPage="1"/>
  </sheetPr>
  <dimension ref="A1:P104"/>
  <sheetViews>
    <sheetView view="pageBreakPreview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92" customWidth="1"/>
    <col min="6" max="6" width="7.7109375" customWidth="1"/>
    <col min="7" max="7" width="7.7109375" style="169" customWidth="1"/>
    <col min="11" max="11" width="11.42578125" customWidth="1"/>
    <col min="12" max="12" width="11.42578125" style="108" hidden="1" customWidth="1"/>
    <col min="13" max="16" width="11.42578125" hidden="1" customWidth="1"/>
    <col min="17" max="20" width="11.42578125" customWidth="1"/>
  </cols>
  <sheetData>
    <row r="1" spans="1:16" ht="28.5" customHeight="1" x14ac:dyDescent="0.4">
      <c r="A1" s="87" t="s">
        <v>1785</v>
      </c>
      <c r="C1" s="160" t="str">
        <f>Schlüssel!$C$1</f>
        <v>Bezirksliga N1 Männer</v>
      </c>
      <c r="D1" s="161"/>
      <c r="E1" s="168"/>
      <c r="F1" s="161"/>
      <c r="L1" s="108" t="s">
        <v>1814</v>
      </c>
      <c r="M1" t="s">
        <v>1799</v>
      </c>
      <c r="N1" t="s">
        <v>1819</v>
      </c>
      <c r="O1" t="s">
        <v>1805</v>
      </c>
      <c r="P1" t="s">
        <v>1820</v>
      </c>
    </row>
    <row r="2" spans="1:16" ht="28.5" customHeight="1" x14ac:dyDescent="0.3">
      <c r="A2" s="170" t="s">
        <v>1784</v>
      </c>
      <c r="C2" s="28">
        <v>2</v>
      </c>
      <c r="D2" s="28" t="s">
        <v>1864</v>
      </c>
      <c r="E2" s="171"/>
      <c r="F2" s="172"/>
      <c r="L2" s="108">
        <f>INDEX(Starter!A:A,ROW()-1)</f>
        <v>7136</v>
      </c>
      <c r="M2">
        <f>INDEX(Schnitt1!M:M,MATCH(L2,Schnitt1!L:L,0))+INDEX(Schnitt2!M:M,MATCH(L2,Schnitt2!L:L,0))</f>
        <v>911</v>
      </c>
      <c r="N2">
        <f>INDEX(Schnitt1!N:N,MATCH(L2,Schnitt1!L:L,0))+INDEX(Schnitt2!N:N,MATCH(L2,Schnitt2!L:L,0))</f>
        <v>5</v>
      </c>
      <c r="O2">
        <f t="shared" ref="O2:O65" si="0">IF(N2=0,0,M2/N2-ROW()/1000000000)</f>
        <v>182.19999999799998</v>
      </c>
      <c r="P2">
        <f t="shared" ref="P2:P65" si="1">RANK(O2,O:O)</f>
        <v>12</v>
      </c>
    </row>
    <row r="3" spans="1:16" x14ac:dyDescent="0.2">
      <c r="L3" s="108">
        <f>INDEX(Starter!A:A,ROW()-1)</f>
        <v>7123</v>
      </c>
      <c r="M3">
        <f>INDEX(Schnitt1!M:M,MATCH(L3,Schnitt1!L:L,0))+INDEX(Schnitt2!M:M,MATCH(L3,Schnitt2!L:L,0))</f>
        <v>1422</v>
      </c>
      <c r="N3">
        <f>INDEX(Schnitt1!N:N,MATCH(L3,Schnitt1!L:L,0))+INDEX(Schnitt2!N:N,MATCH(L3,Schnitt2!L:L,0))</f>
        <v>10</v>
      </c>
      <c r="O3">
        <f t="shared" si="0"/>
        <v>142.19999999699999</v>
      </c>
      <c r="P3">
        <f t="shared" si="1"/>
        <v>34</v>
      </c>
    </row>
    <row r="4" spans="1:16" x14ac:dyDescent="0.2">
      <c r="A4" s="128" t="s">
        <v>1822</v>
      </c>
      <c r="B4" s="128" t="s">
        <v>1814</v>
      </c>
      <c r="C4" t="s">
        <v>1797</v>
      </c>
      <c r="D4" t="s">
        <v>1823</v>
      </c>
      <c r="E4" s="173" t="s">
        <v>1799</v>
      </c>
      <c r="F4" s="128" t="s">
        <v>1819</v>
      </c>
      <c r="G4" s="174" t="s">
        <v>1805</v>
      </c>
      <c r="L4" s="108">
        <f>INDEX(Starter!A:A,ROW()-1)</f>
        <v>25479</v>
      </c>
      <c r="M4">
        <f>INDEX(Schnitt1!M:M,MATCH(L4,Schnitt1!L:L,0))+INDEX(Schnitt2!M:M,MATCH(L4,Schnitt2!L:L,0))</f>
        <v>1588</v>
      </c>
      <c r="N4">
        <f>INDEX(Schnitt1!N:N,MATCH(L4,Schnitt1!L:L,0))+INDEX(Schnitt2!N:N,MATCH(L4,Schnitt2!L:L,0))</f>
        <v>10</v>
      </c>
      <c r="O4">
        <f t="shared" si="0"/>
        <v>158.79999999600003</v>
      </c>
      <c r="P4">
        <f t="shared" si="1"/>
        <v>29</v>
      </c>
    </row>
    <row r="5" spans="1:16" x14ac:dyDescent="0.2">
      <c r="A5">
        <v>1</v>
      </c>
      <c r="B5">
        <f t="shared" ref="B5:B68" si="2">IFERROR(INDEX(L:L,MATCH(A5,P:P,0)),"")</f>
        <v>38046</v>
      </c>
      <c r="C5" t="str">
        <f>IFERROR(INDEX(Starter!B:B,MATCH(B5,Starter!A:A,0)),"")</f>
        <v>Humbs, Martin</v>
      </c>
      <c r="D5" t="str">
        <f>IFERROR(INDEX(Starter!C:C,MATCH(B5,Starter!A:A,0)),"")</f>
        <v>BC Castra Regina Regensburg</v>
      </c>
      <c r="E5" s="92">
        <f t="shared" ref="E5:E68" si="3">IFERROR(INDEX(M:M,MATCH(A5,P:P,0)),"")</f>
        <v>2119</v>
      </c>
      <c r="F5">
        <f t="shared" ref="F5:F68" si="4">IFERROR(INDEX(N:N,MATCH(A5,P:P,0)),"")</f>
        <v>10</v>
      </c>
      <c r="G5" s="169">
        <f t="shared" ref="G5:G68" si="5">IFERROR(INDEX(O:O,MATCH(A5,P:P,0)),"")</f>
        <v>211.89999997800001</v>
      </c>
      <c r="L5" s="108">
        <f>INDEX(Starter!A:A,ROW()-1)</f>
        <v>7128</v>
      </c>
      <c r="M5">
        <f>INDEX(Schnitt1!M:M,MATCH(L5,Schnitt1!L:L,0))+INDEX(Schnitt2!M:M,MATCH(L5,Schnitt2!L:L,0))</f>
        <v>880</v>
      </c>
      <c r="N5">
        <f>INDEX(Schnitt1!N:N,MATCH(L5,Schnitt1!L:L,0))+INDEX(Schnitt2!N:N,MATCH(L5,Schnitt2!L:L,0))</f>
        <v>5</v>
      </c>
      <c r="O5">
        <f t="shared" si="0"/>
        <v>175.999999995</v>
      </c>
      <c r="P5">
        <f t="shared" si="1"/>
        <v>19</v>
      </c>
    </row>
    <row r="6" spans="1:16" x14ac:dyDescent="0.2">
      <c r="A6">
        <f t="shared" ref="A6:A69" si="6">IFERROR(IF(A5+1&gt;MAX(P:P)-1,"",A5+1),"")</f>
        <v>2</v>
      </c>
      <c r="B6">
        <f t="shared" si="2"/>
        <v>7813</v>
      </c>
      <c r="C6" t="str">
        <f>IFERROR(INDEX(Starter!B:B,MATCH(B6,Starter!A:A,0)),"")</f>
        <v>Walzer, Peter</v>
      </c>
      <c r="D6" t="str">
        <f>IFERROR(INDEX(Starter!C:C,MATCH(B6,Starter!A:A,0)),"")</f>
        <v>BC Castra Regina Regensburg</v>
      </c>
      <c r="E6" s="92">
        <f t="shared" si="3"/>
        <v>995</v>
      </c>
      <c r="F6">
        <f t="shared" si="4"/>
        <v>5</v>
      </c>
      <c r="G6" s="169">
        <f t="shared" si="5"/>
        <v>198.999999973</v>
      </c>
      <c r="L6" s="108">
        <f>INDEX(Starter!A:A,ROW()-1)</f>
        <v>38507</v>
      </c>
      <c r="M6">
        <f>INDEX(Schnitt1!M:M,MATCH(L6,Schnitt1!L:L,0))+INDEX(Schnitt2!M:M,MATCH(L6,Schnitt2!L:L,0))</f>
        <v>444</v>
      </c>
      <c r="N6">
        <f>INDEX(Schnitt1!N:N,MATCH(L6,Schnitt1!L:L,0))+INDEX(Schnitt2!N:N,MATCH(L6,Schnitt2!L:L,0))</f>
        <v>3</v>
      </c>
      <c r="O6">
        <f t="shared" si="0"/>
        <v>147.99999999400001</v>
      </c>
      <c r="P6">
        <f t="shared" si="1"/>
        <v>33</v>
      </c>
    </row>
    <row r="7" spans="1:16" x14ac:dyDescent="0.2">
      <c r="A7">
        <f t="shared" si="6"/>
        <v>3</v>
      </c>
      <c r="B7">
        <f t="shared" si="2"/>
        <v>25723</v>
      </c>
      <c r="C7" t="str">
        <f>IFERROR(INDEX(Starter!B:B,MATCH(B7,Starter!A:A,0)),"")</f>
        <v>Bothe, Thomas</v>
      </c>
      <c r="D7" t="str">
        <f>IFERROR(INDEX(Starter!C:C,MATCH(B7,Starter!A:A,0)),"")</f>
        <v>BC Castra Regina Regensburg</v>
      </c>
      <c r="E7" s="92">
        <f t="shared" si="3"/>
        <v>969</v>
      </c>
      <c r="F7">
        <f t="shared" si="4"/>
        <v>5</v>
      </c>
      <c r="G7" s="169">
        <f t="shared" si="5"/>
        <v>193.79999996400002</v>
      </c>
      <c r="L7" s="108">
        <f>INDEX(Starter!A:A,ROW()-1)</f>
        <v>38115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36</v>
      </c>
    </row>
    <row r="8" spans="1:16" x14ac:dyDescent="0.2">
      <c r="A8">
        <f t="shared" si="6"/>
        <v>4</v>
      </c>
      <c r="B8">
        <f t="shared" si="2"/>
        <v>25130</v>
      </c>
      <c r="C8" t="str">
        <f>IFERROR(INDEX(Starter!B:B,MATCH(B8,Starter!A:A,0)),"")</f>
        <v>Aumeier, Bernhard</v>
      </c>
      <c r="D8" t="str">
        <f>IFERROR(INDEX(Starter!C:C,MATCH(B8,Starter!A:A,0)),"")</f>
        <v>BC Castra Regina Regensburg</v>
      </c>
      <c r="E8" s="92">
        <f t="shared" si="3"/>
        <v>967</v>
      </c>
      <c r="F8">
        <f t="shared" si="4"/>
        <v>5</v>
      </c>
      <c r="G8" s="169">
        <f t="shared" si="5"/>
        <v>193.399999971</v>
      </c>
      <c r="L8" s="108">
        <f>INDEX(Starter!A:A,ROW()-1)</f>
        <v>7586</v>
      </c>
      <c r="M8">
        <f>INDEX(Schnitt1!M:M,MATCH(L8,Schnitt1!L:L,0))+INDEX(Schnitt2!M:M,MATCH(L8,Schnitt2!L:L,0))</f>
        <v>1831</v>
      </c>
      <c r="N8">
        <f>INDEX(Schnitt1!N:N,MATCH(L8,Schnitt1!L:L,0))+INDEX(Schnitt2!N:N,MATCH(L8,Schnitt2!L:L,0))</f>
        <v>10</v>
      </c>
      <c r="O8">
        <f t="shared" si="0"/>
        <v>183.09999999199999</v>
      </c>
      <c r="P8">
        <f t="shared" si="1"/>
        <v>9</v>
      </c>
    </row>
    <row r="9" spans="1:16" x14ac:dyDescent="0.2">
      <c r="A9">
        <f t="shared" si="6"/>
        <v>5</v>
      </c>
      <c r="B9">
        <f t="shared" si="2"/>
        <v>7814</v>
      </c>
      <c r="C9" t="str">
        <f>IFERROR(INDEX(Starter!B:B,MATCH(B9,Starter!A:A,0)),"")</f>
        <v>Kauscher, Bernhard</v>
      </c>
      <c r="D9" t="str">
        <f>IFERROR(INDEX(Starter!C:C,MATCH(B9,Starter!A:A,0)),"")</f>
        <v>BC Castra Regina Regensburg</v>
      </c>
      <c r="E9" s="92">
        <f t="shared" si="3"/>
        <v>1881</v>
      </c>
      <c r="F9">
        <f t="shared" si="4"/>
        <v>10</v>
      </c>
      <c r="G9" s="169">
        <f t="shared" si="5"/>
        <v>188.09999997399999</v>
      </c>
      <c r="L9" s="108">
        <f>INDEX(Starter!A:A,ROW()-1)</f>
        <v>9936</v>
      </c>
      <c r="M9">
        <f>INDEX(Schnitt1!M:M,MATCH(L9,Schnitt1!L:L,0))+INDEX(Schnitt2!M:M,MATCH(L9,Schnitt2!L:L,0))</f>
        <v>829</v>
      </c>
      <c r="N9">
        <f>INDEX(Schnitt1!N:N,MATCH(L9,Schnitt1!L:L,0))+INDEX(Schnitt2!N:N,MATCH(L9,Schnitt2!L:L,0))</f>
        <v>5</v>
      </c>
      <c r="O9">
        <f t="shared" si="0"/>
        <v>165.79999999100002</v>
      </c>
      <c r="P9">
        <f t="shared" si="1"/>
        <v>24</v>
      </c>
    </row>
    <row r="10" spans="1:16" x14ac:dyDescent="0.2">
      <c r="A10">
        <f t="shared" si="6"/>
        <v>6</v>
      </c>
      <c r="B10">
        <f t="shared" si="2"/>
        <v>7282</v>
      </c>
      <c r="C10" t="str">
        <f>IFERROR(INDEX(Starter!B:B,MATCH(B10,Starter!A:A,0)),"")</f>
        <v>Voss, Horst</v>
      </c>
      <c r="D10" t="str">
        <f>IFERROR(INDEX(Starter!C:C,MATCH(B10,Starter!A:A,0)),"")</f>
        <v>BC Herzogenaurach</v>
      </c>
      <c r="E10" s="92">
        <f t="shared" si="3"/>
        <v>934</v>
      </c>
      <c r="F10">
        <f t="shared" si="4"/>
        <v>5</v>
      </c>
      <c r="G10" s="169">
        <f t="shared" si="5"/>
        <v>186.799999982</v>
      </c>
      <c r="L10" s="108">
        <f>INDEX(Starter!A:A,ROW()-1)</f>
        <v>7135</v>
      </c>
      <c r="M10">
        <f>INDEX(Schnitt1!M:M,MATCH(L10,Schnitt1!L:L,0))+INDEX(Schnitt2!M:M,MATCH(L10,Schnitt2!L:L,0))</f>
        <v>914</v>
      </c>
      <c r="N10">
        <f>INDEX(Schnitt1!N:N,MATCH(L10,Schnitt1!L:L,0))+INDEX(Schnitt2!N:N,MATCH(L10,Schnitt2!L:L,0))</f>
        <v>5</v>
      </c>
      <c r="O10">
        <f t="shared" si="0"/>
        <v>182.79999999</v>
      </c>
      <c r="P10">
        <f t="shared" si="1"/>
        <v>10</v>
      </c>
    </row>
    <row r="11" spans="1:16" x14ac:dyDescent="0.2">
      <c r="A11">
        <f t="shared" si="6"/>
        <v>7</v>
      </c>
      <c r="B11">
        <f t="shared" si="2"/>
        <v>7816</v>
      </c>
      <c r="C11" t="str">
        <f>IFERROR(INDEX(Starter!B:B,MATCH(B11,Starter!A:A,0)),"")</f>
        <v>Jahre, Steffen</v>
      </c>
      <c r="D11" t="str">
        <f>IFERROR(INDEX(Starter!C:C,MATCH(B11,Starter!A:A,0)),"")</f>
        <v>BC Castra Regina Regensburg</v>
      </c>
      <c r="E11" s="92">
        <f t="shared" si="3"/>
        <v>919</v>
      </c>
      <c r="F11">
        <f t="shared" si="4"/>
        <v>5</v>
      </c>
      <c r="G11" s="169">
        <f t="shared" si="5"/>
        <v>183.799999963</v>
      </c>
      <c r="L11" s="108">
        <f>INDEX(Starter!A:A,ROW()-1)</f>
        <v>38367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36</v>
      </c>
    </row>
    <row r="12" spans="1:16" x14ac:dyDescent="0.2">
      <c r="A12">
        <f t="shared" si="6"/>
        <v>8</v>
      </c>
      <c r="B12">
        <f t="shared" si="2"/>
        <v>25895</v>
      </c>
      <c r="C12" t="str">
        <f>IFERROR(INDEX(Starter!B:B,MATCH(B12,Starter!A:A,0)),"")</f>
        <v>Gilch, Stefan</v>
      </c>
      <c r="D12" t="str">
        <f>IFERROR(INDEX(Starter!C:C,MATCH(B12,Starter!A:A,0)),"")</f>
        <v>BC Castra Regina Regensburg</v>
      </c>
      <c r="E12" s="92">
        <f t="shared" si="3"/>
        <v>1468</v>
      </c>
      <c r="F12">
        <f t="shared" si="4"/>
        <v>8</v>
      </c>
      <c r="G12" s="169">
        <f t="shared" si="5"/>
        <v>183.49999996700001</v>
      </c>
      <c r="L12" s="108">
        <f>INDEX(Starter!A:A,ROW()-1)</f>
        <v>38152</v>
      </c>
      <c r="M12">
        <f>INDEX(Schnitt1!M:M,MATCH(L12,Schnitt1!L:L,0))+INDEX(Schnitt2!M:M,MATCH(L12,Schnitt2!L:L,0))</f>
        <v>282</v>
      </c>
      <c r="N12">
        <f>INDEX(Schnitt1!N:N,MATCH(L12,Schnitt1!L:L,0))+INDEX(Schnitt2!N:N,MATCH(L12,Schnitt2!L:L,0))</f>
        <v>2</v>
      </c>
      <c r="O12">
        <f t="shared" si="0"/>
        <v>140.99999998800001</v>
      </c>
      <c r="P12">
        <f t="shared" si="1"/>
        <v>35</v>
      </c>
    </row>
    <row r="13" spans="1:16" x14ac:dyDescent="0.2">
      <c r="A13">
        <f t="shared" si="6"/>
        <v>9</v>
      </c>
      <c r="B13">
        <f t="shared" si="2"/>
        <v>7586</v>
      </c>
      <c r="C13" t="str">
        <f>IFERROR(INDEX(Starter!B:B,MATCH(B13,Starter!A:A,0)),"")</f>
        <v>Eichner, Karl</v>
      </c>
      <c r="D13" t="str">
        <f>IFERROR(INDEX(Starter!C:C,MATCH(B13,Starter!A:A,0)),"")</f>
        <v>Kings Club Bayreuth</v>
      </c>
      <c r="E13" s="92">
        <f t="shared" si="3"/>
        <v>1831</v>
      </c>
      <c r="F13">
        <f t="shared" si="4"/>
        <v>10</v>
      </c>
      <c r="G13" s="169">
        <f t="shared" si="5"/>
        <v>183.09999999199999</v>
      </c>
      <c r="L13" s="108">
        <f>INDEX(Starter!A:A,ROW()-1)</f>
        <v>25007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0"/>
        <v>0</v>
      </c>
      <c r="P13">
        <f t="shared" si="1"/>
        <v>36</v>
      </c>
    </row>
    <row r="14" spans="1:16" x14ac:dyDescent="0.2">
      <c r="A14">
        <f t="shared" si="6"/>
        <v>10</v>
      </c>
      <c r="B14">
        <f t="shared" si="2"/>
        <v>7135</v>
      </c>
      <c r="C14" t="str">
        <f>IFERROR(INDEX(Starter!B:B,MATCH(B14,Starter!A:A,0)),"")</f>
        <v>Franke, Guido</v>
      </c>
      <c r="D14" t="str">
        <f>IFERROR(INDEX(Starter!C:C,MATCH(B14,Starter!A:A,0)),"")</f>
        <v>Kings Club Bayreuth</v>
      </c>
      <c r="E14" s="92">
        <f t="shared" si="3"/>
        <v>914</v>
      </c>
      <c r="F14">
        <f t="shared" si="4"/>
        <v>5</v>
      </c>
      <c r="G14" s="169">
        <f t="shared" si="5"/>
        <v>182.79999999</v>
      </c>
      <c r="L14" s="108">
        <f>INDEX(Starter!A:A,ROW()-1)</f>
        <v>38661</v>
      </c>
      <c r="M14">
        <f>INDEX(Schnitt1!M:M,MATCH(L14,Schnitt1!L:L,0))+INDEX(Schnitt2!M:M,MATCH(L14,Schnitt2!L:L,0))</f>
        <v>904</v>
      </c>
      <c r="N14">
        <f>INDEX(Schnitt1!N:N,MATCH(L14,Schnitt1!L:L,0))+INDEX(Schnitt2!N:N,MATCH(L14,Schnitt2!L:L,0))</f>
        <v>5</v>
      </c>
      <c r="O14">
        <f t="shared" si="0"/>
        <v>180.79999998600002</v>
      </c>
      <c r="P14">
        <f t="shared" si="1"/>
        <v>14</v>
      </c>
    </row>
    <row r="15" spans="1:16" x14ac:dyDescent="0.2">
      <c r="A15">
        <f t="shared" si="6"/>
        <v>11</v>
      </c>
      <c r="B15">
        <f t="shared" si="2"/>
        <v>25760</v>
      </c>
      <c r="C15" t="str">
        <f>IFERROR(INDEX(Starter!B:B,MATCH(B15,Starter!A:A,0)),"")</f>
        <v>Inkermann, Matthias</v>
      </c>
      <c r="D15" t="str">
        <f>IFERROR(INDEX(Starter!C:C,MATCH(B15,Starter!A:A,0)),"")</f>
        <v>BC Herzogenaurach</v>
      </c>
      <c r="E15" s="92">
        <f t="shared" si="3"/>
        <v>1828</v>
      </c>
      <c r="F15">
        <f t="shared" si="4"/>
        <v>10</v>
      </c>
      <c r="G15" s="169">
        <f t="shared" si="5"/>
        <v>182.79999995700001</v>
      </c>
      <c r="L15" s="108">
        <f>INDEX(Starter!A:A,ROW()-1)</f>
        <v>34393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0"/>
        <v>0</v>
      </c>
      <c r="P15">
        <f t="shared" si="1"/>
        <v>36</v>
      </c>
    </row>
    <row r="16" spans="1:16" x14ac:dyDescent="0.2">
      <c r="A16">
        <f t="shared" si="6"/>
        <v>12</v>
      </c>
      <c r="B16">
        <f t="shared" si="2"/>
        <v>7136</v>
      </c>
      <c r="C16" t="str">
        <f>IFERROR(INDEX(Starter!B:B,MATCH(B16,Starter!A:A,0)),"")</f>
        <v>Rühr, Wilfried</v>
      </c>
      <c r="D16" t="str">
        <f>IFERROR(INDEX(Starter!C:C,MATCH(B16,Starter!A:A,0)),"")</f>
        <v>Kings Club Bayreuth</v>
      </c>
      <c r="E16" s="92">
        <f t="shared" si="3"/>
        <v>911</v>
      </c>
      <c r="F16">
        <f t="shared" si="4"/>
        <v>5</v>
      </c>
      <c r="G16" s="169">
        <f t="shared" si="5"/>
        <v>182.19999999799998</v>
      </c>
      <c r="L16" s="108">
        <f>INDEX(Starter!A:A,ROW()-1)</f>
        <v>38823</v>
      </c>
      <c r="M16">
        <f>INDEX(Schnitt1!M:M,MATCH(L16,Schnitt1!L:L,0))+INDEX(Schnitt2!M:M,MATCH(L16,Schnitt2!L:L,0))</f>
        <v>1742</v>
      </c>
      <c r="N16">
        <f>INDEX(Schnitt1!N:N,MATCH(L16,Schnitt1!L:L,0))+INDEX(Schnitt2!N:N,MATCH(L16,Schnitt2!L:L,0))</f>
        <v>10</v>
      </c>
      <c r="O16">
        <f t="shared" si="0"/>
        <v>174.19999998399999</v>
      </c>
      <c r="P16">
        <f t="shared" si="1"/>
        <v>21</v>
      </c>
    </row>
    <row r="17" spans="1:16" x14ac:dyDescent="0.2">
      <c r="A17">
        <f t="shared" si="6"/>
        <v>13</v>
      </c>
      <c r="B17">
        <f t="shared" si="2"/>
        <v>7286</v>
      </c>
      <c r="C17" t="str">
        <f>IFERROR(INDEX(Starter!B:B,MATCH(B17,Starter!A:A,0)),"")</f>
        <v>Meier, Peter</v>
      </c>
      <c r="D17" t="str">
        <f>IFERROR(INDEX(Starter!C:C,MATCH(B17,Starter!A:A,0)),"")</f>
        <v>BC Herzogenaurach</v>
      </c>
      <c r="E17" s="92">
        <f t="shared" si="3"/>
        <v>1815</v>
      </c>
      <c r="F17">
        <f t="shared" si="4"/>
        <v>10</v>
      </c>
      <c r="G17" s="169">
        <f t="shared" si="5"/>
        <v>181.49999998000001</v>
      </c>
      <c r="L17" s="108">
        <f>INDEX(Starter!A:A,ROW()-1)</f>
        <v>38509</v>
      </c>
      <c r="M17">
        <f>INDEX(Schnitt1!M:M,MATCH(L17,Schnitt1!L:L,0))+INDEX(Schnitt2!M:M,MATCH(L17,Schnitt2!L:L,0))</f>
        <v>1689</v>
      </c>
      <c r="N17">
        <f>INDEX(Schnitt1!N:N,MATCH(L17,Schnitt1!L:L,0))+INDEX(Schnitt2!N:N,MATCH(L17,Schnitt2!L:L,0))</f>
        <v>10</v>
      </c>
      <c r="O17">
        <f t="shared" si="0"/>
        <v>168.89999998300001</v>
      </c>
      <c r="P17">
        <f t="shared" si="1"/>
        <v>23</v>
      </c>
    </row>
    <row r="18" spans="1:16" x14ac:dyDescent="0.2">
      <c r="A18">
        <f t="shared" si="6"/>
        <v>14</v>
      </c>
      <c r="B18">
        <f t="shared" si="2"/>
        <v>38661</v>
      </c>
      <c r="C18" t="str">
        <f>IFERROR(INDEX(Starter!B:B,MATCH(B18,Starter!A:A,0)),"")</f>
        <v>Katholing, Jürgen</v>
      </c>
      <c r="D18" t="str">
        <f>IFERROR(INDEX(Starter!C:C,MATCH(B18,Starter!A:A,0)),"")</f>
        <v>Kings Club Bayreuth</v>
      </c>
      <c r="E18" s="92">
        <f t="shared" si="3"/>
        <v>904</v>
      </c>
      <c r="F18">
        <f t="shared" si="4"/>
        <v>5</v>
      </c>
      <c r="G18" s="169">
        <f t="shared" si="5"/>
        <v>180.79999998600002</v>
      </c>
      <c r="L18" s="108">
        <f>INDEX(Starter!A:A,ROW()-1)</f>
        <v>7282</v>
      </c>
      <c r="M18">
        <f>INDEX(Schnitt1!M:M,MATCH(L18,Schnitt1!L:L,0))+INDEX(Schnitt2!M:M,MATCH(L18,Schnitt2!L:L,0))</f>
        <v>934</v>
      </c>
      <c r="N18">
        <f>INDEX(Schnitt1!N:N,MATCH(L18,Schnitt1!L:L,0))+INDEX(Schnitt2!N:N,MATCH(L18,Schnitt2!L:L,0))</f>
        <v>5</v>
      </c>
      <c r="O18">
        <f t="shared" si="0"/>
        <v>186.799999982</v>
      </c>
      <c r="P18">
        <f t="shared" si="1"/>
        <v>6</v>
      </c>
    </row>
    <row r="19" spans="1:16" x14ac:dyDescent="0.2">
      <c r="A19">
        <f t="shared" si="6"/>
        <v>15</v>
      </c>
      <c r="B19">
        <f t="shared" si="2"/>
        <v>7714</v>
      </c>
      <c r="C19" t="str">
        <f>IFERROR(INDEX(Starter!B:B,MATCH(B19,Starter!A:A,0)),"")</f>
        <v>Doßler, Thomas</v>
      </c>
      <c r="D19" t="str">
        <f>IFERROR(INDEX(Starter!C:C,MATCH(B19,Starter!A:A,0)),"")</f>
        <v>BC Adler Nürnberg</v>
      </c>
      <c r="E19" s="92">
        <f t="shared" si="3"/>
        <v>904</v>
      </c>
      <c r="F19">
        <f t="shared" si="4"/>
        <v>5</v>
      </c>
      <c r="G19" s="169">
        <f t="shared" si="5"/>
        <v>180.799999961</v>
      </c>
      <c r="L19" s="108">
        <f>INDEX(Starter!A:A,ROW()-1)</f>
        <v>25378</v>
      </c>
      <c r="M19">
        <f>INDEX(Schnitt1!M:M,MATCH(L19,Schnitt1!L:L,0))+INDEX(Schnitt2!M:M,MATCH(L19,Schnitt2!L:L,0))</f>
        <v>1426</v>
      </c>
      <c r="N19">
        <f>INDEX(Schnitt1!N:N,MATCH(L19,Schnitt1!L:L,0))+INDEX(Schnitt2!N:N,MATCH(L19,Schnitt2!L:L,0))</f>
        <v>8</v>
      </c>
      <c r="O19">
        <f t="shared" si="0"/>
        <v>178.249999981</v>
      </c>
      <c r="P19">
        <f t="shared" si="1"/>
        <v>18</v>
      </c>
    </row>
    <row r="20" spans="1:16" x14ac:dyDescent="0.2">
      <c r="A20">
        <f t="shared" si="6"/>
        <v>16</v>
      </c>
      <c r="B20">
        <f t="shared" si="2"/>
        <v>38571</v>
      </c>
      <c r="C20" t="str">
        <f>IFERROR(INDEX(Starter!B:B,MATCH(B20,Starter!A:A,0)),"")</f>
        <v>Simon, Steven</v>
      </c>
      <c r="D20" t="str">
        <f>IFERROR(INDEX(Starter!C:C,MATCH(B20,Starter!A:A,0)),"")</f>
        <v>BC Castra Regina Regensburg</v>
      </c>
      <c r="E20" s="92">
        <f t="shared" si="3"/>
        <v>1254</v>
      </c>
      <c r="F20">
        <f t="shared" si="4"/>
        <v>7</v>
      </c>
      <c r="G20" s="169">
        <f t="shared" si="5"/>
        <v>179.14285711985713</v>
      </c>
      <c r="L20" s="108">
        <f>INDEX(Starter!A:A,ROW()-1)</f>
        <v>7286</v>
      </c>
      <c r="M20">
        <f>INDEX(Schnitt1!M:M,MATCH(L20,Schnitt1!L:L,0))+INDEX(Schnitt2!M:M,MATCH(L20,Schnitt2!L:L,0))</f>
        <v>1815</v>
      </c>
      <c r="N20">
        <f>INDEX(Schnitt1!N:N,MATCH(L20,Schnitt1!L:L,0))+INDEX(Schnitt2!N:N,MATCH(L20,Schnitt2!L:L,0))</f>
        <v>10</v>
      </c>
      <c r="O20">
        <f t="shared" si="0"/>
        <v>181.49999998000001</v>
      </c>
      <c r="P20">
        <f t="shared" si="1"/>
        <v>13</v>
      </c>
    </row>
    <row r="21" spans="1:16" x14ac:dyDescent="0.2">
      <c r="A21">
        <f t="shared" si="6"/>
        <v>17</v>
      </c>
      <c r="B21">
        <f t="shared" si="2"/>
        <v>16707</v>
      </c>
      <c r="C21" t="str">
        <f>IFERROR(INDEX(Starter!B:B,MATCH(B21,Starter!A:A,0)),"")</f>
        <v>Beier, Thomas</v>
      </c>
      <c r="D21" t="str">
        <f>IFERROR(INDEX(Starter!C:C,MATCH(B21,Starter!A:A,0)),"")</f>
        <v>BC Adler Nürnberg</v>
      </c>
      <c r="E21" s="92">
        <f t="shared" si="3"/>
        <v>1784</v>
      </c>
      <c r="F21">
        <f t="shared" si="4"/>
        <v>10</v>
      </c>
      <c r="G21" s="169">
        <f t="shared" si="5"/>
        <v>178.399999958</v>
      </c>
      <c r="L21" s="108">
        <f>INDEX(Starter!A:A,ROW()-1)</f>
        <v>7283</v>
      </c>
      <c r="M21">
        <f>INDEX(Schnitt1!M:M,MATCH(L21,Schnitt1!L:L,0))+INDEX(Schnitt2!M:M,MATCH(L21,Schnitt2!L:L,0))</f>
        <v>817</v>
      </c>
      <c r="N21">
        <f>INDEX(Schnitt1!N:N,MATCH(L21,Schnitt1!L:L,0))+INDEX(Schnitt2!N:N,MATCH(L21,Schnitt2!L:L,0))</f>
        <v>5</v>
      </c>
      <c r="O21">
        <f t="shared" si="0"/>
        <v>163.399999979</v>
      </c>
      <c r="P21">
        <f t="shared" si="1"/>
        <v>25</v>
      </c>
    </row>
    <row r="22" spans="1:16" x14ac:dyDescent="0.2">
      <c r="A22">
        <f t="shared" si="6"/>
        <v>18</v>
      </c>
      <c r="B22">
        <f t="shared" si="2"/>
        <v>25378</v>
      </c>
      <c r="C22" t="str">
        <f>IFERROR(INDEX(Starter!B:B,MATCH(B22,Starter!A:A,0)),"")</f>
        <v>Arnold, Nadine</v>
      </c>
      <c r="D22" t="str">
        <f>IFERROR(INDEX(Starter!C:C,MATCH(B22,Starter!A:A,0)),"")</f>
        <v>BC Herzogenaurach</v>
      </c>
      <c r="E22" s="92">
        <f t="shared" si="3"/>
        <v>1426</v>
      </c>
      <c r="F22">
        <f t="shared" si="4"/>
        <v>8</v>
      </c>
      <c r="G22" s="169">
        <f t="shared" si="5"/>
        <v>178.249999981</v>
      </c>
      <c r="L22" s="108">
        <f>INDEX(Starter!A:A,ROW()-1)</f>
        <v>38046</v>
      </c>
      <c r="M22">
        <f>INDEX(Schnitt1!M:M,MATCH(L22,Schnitt1!L:L,0))+INDEX(Schnitt2!M:M,MATCH(L22,Schnitt2!L:L,0))</f>
        <v>2119</v>
      </c>
      <c r="N22">
        <f>INDEX(Schnitt1!N:N,MATCH(L22,Schnitt1!L:L,0))+INDEX(Schnitt2!N:N,MATCH(L22,Schnitt2!L:L,0))</f>
        <v>10</v>
      </c>
      <c r="O22">
        <f t="shared" si="0"/>
        <v>211.89999997800001</v>
      </c>
      <c r="P22">
        <f t="shared" si="1"/>
        <v>1</v>
      </c>
    </row>
    <row r="23" spans="1:16" x14ac:dyDescent="0.2">
      <c r="A23">
        <f t="shared" si="6"/>
        <v>19</v>
      </c>
      <c r="B23">
        <f t="shared" si="2"/>
        <v>7128</v>
      </c>
      <c r="C23" t="str">
        <f>IFERROR(INDEX(Starter!B:B,MATCH(B23,Starter!A:A,0)),"")</f>
        <v>Wallner, Harald</v>
      </c>
      <c r="D23" t="str">
        <f>IFERROR(INDEX(Starter!C:C,MATCH(B23,Starter!A:A,0)),"")</f>
        <v>Kings Club Bayreuth</v>
      </c>
      <c r="E23" s="92">
        <f t="shared" si="3"/>
        <v>880</v>
      </c>
      <c r="F23">
        <f t="shared" si="4"/>
        <v>5</v>
      </c>
      <c r="G23" s="169">
        <f t="shared" si="5"/>
        <v>175.999999995</v>
      </c>
      <c r="L23" s="108">
        <f>INDEX(Starter!A:A,ROW()-1)</f>
        <v>38571</v>
      </c>
      <c r="M23">
        <f>INDEX(Schnitt1!M:M,MATCH(L23,Schnitt1!L:L,0))+INDEX(Schnitt2!M:M,MATCH(L23,Schnitt2!L:L,0))</f>
        <v>1254</v>
      </c>
      <c r="N23">
        <f>INDEX(Schnitt1!N:N,MATCH(L23,Schnitt1!L:L,0))+INDEX(Schnitt2!N:N,MATCH(L23,Schnitt2!L:L,0))</f>
        <v>7</v>
      </c>
      <c r="O23">
        <f t="shared" si="0"/>
        <v>179.14285711985713</v>
      </c>
      <c r="P23">
        <f t="shared" si="1"/>
        <v>16</v>
      </c>
    </row>
    <row r="24" spans="1:16" x14ac:dyDescent="0.2">
      <c r="A24">
        <f t="shared" si="6"/>
        <v>20</v>
      </c>
      <c r="B24">
        <f t="shared" si="2"/>
        <v>7849</v>
      </c>
      <c r="C24" t="str">
        <f>IFERROR(INDEX(Starter!B:B,MATCH(B24,Starter!A:A,0)),"")</f>
        <v>Stibel, Blasius</v>
      </c>
      <c r="D24" t="str">
        <f>IFERROR(INDEX(Starter!C:C,MATCH(B24,Starter!A:A,0)),"")</f>
        <v>BC Castra Regina Regensburg</v>
      </c>
      <c r="E24" s="92">
        <f t="shared" si="3"/>
        <v>879</v>
      </c>
      <c r="F24">
        <f t="shared" si="4"/>
        <v>5</v>
      </c>
      <c r="G24" s="169">
        <f t="shared" si="5"/>
        <v>175.799999969</v>
      </c>
      <c r="L24" s="108">
        <f>INDEX(Starter!A:A,ROW()-1)</f>
        <v>38870</v>
      </c>
      <c r="M24">
        <f>INDEX(Schnitt1!M:M,MATCH(L24,Schnitt1!L:L,0))+INDEX(Schnitt2!M:M,MATCH(L24,Schnitt2!L:L,0))</f>
        <v>1590</v>
      </c>
      <c r="N24">
        <f>INDEX(Schnitt1!N:N,MATCH(L24,Schnitt1!L:L,0))+INDEX(Schnitt2!N:N,MATCH(L24,Schnitt2!L:L,0))</f>
        <v>10</v>
      </c>
      <c r="O24">
        <f t="shared" si="0"/>
        <v>158.999999976</v>
      </c>
      <c r="P24">
        <f t="shared" si="1"/>
        <v>28</v>
      </c>
    </row>
    <row r="25" spans="1:16" x14ac:dyDescent="0.2">
      <c r="A25">
        <f t="shared" si="6"/>
        <v>21</v>
      </c>
      <c r="B25">
        <f t="shared" si="2"/>
        <v>38823</v>
      </c>
      <c r="C25" t="str">
        <f>IFERROR(INDEX(Starter!B:B,MATCH(B25,Starter!A:A,0)),"")</f>
        <v>Sommerer, Stefan</v>
      </c>
      <c r="D25" t="str">
        <f>IFERROR(INDEX(Starter!C:C,MATCH(B25,Starter!A:A,0)),"")</f>
        <v>Kings Club Bayreuth</v>
      </c>
      <c r="E25" s="92">
        <f t="shared" si="3"/>
        <v>1742</v>
      </c>
      <c r="F25">
        <f t="shared" si="4"/>
        <v>10</v>
      </c>
      <c r="G25" s="169">
        <f t="shared" si="5"/>
        <v>174.19999998399999</v>
      </c>
      <c r="L25" s="108">
        <f>INDEX(Starter!A:A,ROW()-1)</f>
        <v>7809</v>
      </c>
      <c r="M25">
        <f>INDEX(Schnitt1!M:M,MATCH(L25,Schnitt1!L:L,0))+INDEX(Schnitt2!M:M,MATCH(L25,Schnitt2!L:L,0))</f>
        <v>0</v>
      </c>
      <c r="N25">
        <f>INDEX(Schnitt1!N:N,MATCH(L25,Schnitt1!L:L,0))+INDEX(Schnitt2!N:N,MATCH(L25,Schnitt2!L:L,0))</f>
        <v>0</v>
      </c>
      <c r="O25">
        <f t="shared" si="0"/>
        <v>0</v>
      </c>
      <c r="P25">
        <f t="shared" si="1"/>
        <v>36</v>
      </c>
    </row>
    <row r="26" spans="1:16" x14ac:dyDescent="0.2">
      <c r="A26">
        <f t="shared" si="6"/>
        <v>22</v>
      </c>
      <c r="B26">
        <f t="shared" si="2"/>
        <v>25811</v>
      </c>
      <c r="C26" t="str">
        <f>IFERROR(INDEX(Starter!B:B,MATCH(B26,Starter!A:A,0)),"")</f>
        <v>Schmelzl, Werner</v>
      </c>
      <c r="D26" t="str">
        <f>IFERROR(INDEX(Starter!C:C,MATCH(B26,Starter!A:A,0)),"")</f>
        <v>BC Adler Nürnberg</v>
      </c>
      <c r="E26" s="92">
        <f t="shared" si="3"/>
        <v>1718</v>
      </c>
      <c r="F26">
        <f t="shared" si="4"/>
        <v>10</v>
      </c>
      <c r="G26" s="169">
        <f t="shared" si="5"/>
        <v>171.79999996000001</v>
      </c>
      <c r="L26" s="108">
        <f>INDEX(Starter!A:A,ROW()-1)</f>
        <v>7814</v>
      </c>
      <c r="M26">
        <f>INDEX(Schnitt1!M:M,MATCH(L26,Schnitt1!L:L,0))+INDEX(Schnitt2!M:M,MATCH(L26,Schnitt2!L:L,0))</f>
        <v>1881</v>
      </c>
      <c r="N26">
        <f>INDEX(Schnitt1!N:N,MATCH(L26,Schnitt1!L:L,0))+INDEX(Schnitt2!N:N,MATCH(L26,Schnitt2!L:L,0))</f>
        <v>10</v>
      </c>
      <c r="O26">
        <f t="shared" si="0"/>
        <v>188.09999997399999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38509</v>
      </c>
      <c r="C27" t="str">
        <f>IFERROR(INDEX(Starter!B:B,MATCH(B27,Starter!A:A,0)),"")</f>
        <v>Zahiri, Ali</v>
      </c>
      <c r="D27" t="str">
        <f>IFERROR(INDEX(Starter!C:C,MATCH(B27,Starter!A:A,0)),"")</f>
        <v>Kings Club Bayreuth</v>
      </c>
      <c r="E27" s="92">
        <f t="shared" si="3"/>
        <v>1689</v>
      </c>
      <c r="F27">
        <f t="shared" si="4"/>
        <v>10</v>
      </c>
      <c r="G27" s="169">
        <f t="shared" si="5"/>
        <v>168.89999998300001</v>
      </c>
      <c r="L27" s="108">
        <f>INDEX(Starter!A:A,ROW()-1)</f>
        <v>7813</v>
      </c>
      <c r="M27">
        <f>INDEX(Schnitt1!M:M,MATCH(L27,Schnitt1!L:L,0))+INDEX(Schnitt2!M:M,MATCH(L27,Schnitt2!L:L,0))</f>
        <v>995</v>
      </c>
      <c r="N27">
        <f>INDEX(Schnitt1!N:N,MATCH(L27,Schnitt1!L:L,0))+INDEX(Schnitt2!N:N,MATCH(L27,Schnitt2!L:L,0))</f>
        <v>5</v>
      </c>
      <c r="O27">
        <f t="shared" si="0"/>
        <v>198.999999973</v>
      </c>
      <c r="P27">
        <f t="shared" si="1"/>
        <v>2</v>
      </c>
    </row>
    <row r="28" spans="1:16" x14ac:dyDescent="0.2">
      <c r="A28">
        <f t="shared" si="6"/>
        <v>24</v>
      </c>
      <c r="B28">
        <f t="shared" si="2"/>
        <v>9936</v>
      </c>
      <c r="C28" t="str">
        <f>IFERROR(INDEX(Starter!B:B,MATCH(B28,Starter!A:A,0)),"")</f>
        <v>Fischer, Nick</v>
      </c>
      <c r="D28" t="str">
        <f>IFERROR(INDEX(Starter!C:C,MATCH(B28,Starter!A:A,0)),"")</f>
        <v>Kings Club Bayreuth</v>
      </c>
      <c r="E28" s="92">
        <f t="shared" si="3"/>
        <v>829</v>
      </c>
      <c r="F28">
        <f t="shared" si="4"/>
        <v>5</v>
      </c>
      <c r="G28" s="169">
        <f t="shared" si="5"/>
        <v>165.79999999100002</v>
      </c>
      <c r="L28" s="108">
        <f>INDEX(Starter!A:A,ROW()-1)</f>
        <v>7730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0"/>
        <v>0</v>
      </c>
      <c r="P28">
        <f t="shared" si="1"/>
        <v>36</v>
      </c>
    </row>
    <row r="29" spans="1:16" x14ac:dyDescent="0.2">
      <c r="A29">
        <f t="shared" si="6"/>
        <v>25</v>
      </c>
      <c r="B29">
        <f t="shared" si="2"/>
        <v>7283</v>
      </c>
      <c r="C29" t="str">
        <f>IFERROR(INDEX(Starter!B:B,MATCH(B29,Starter!A:A,0)),"")</f>
        <v>Pichl, Jürgen</v>
      </c>
      <c r="D29" t="str">
        <f>IFERROR(INDEX(Starter!C:C,MATCH(B29,Starter!A:A,0)),"")</f>
        <v>BC Herzogenaurach</v>
      </c>
      <c r="E29" s="92">
        <f t="shared" si="3"/>
        <v>817</v>
      </c>
      <c r="F29">
        <f t="shared" si="4"/>
        <v>5</v>
      </c>
      <c r="G29" s="169">
        <f t="shared" si="5"/>
        <v>163.399999979</v>
      </c>
      <c r="L29" s="108">
        <f>INDEX(Starter!A:A,ROW()-1)</f>
        <v>25130</v>
      </c>
      <c r="M29">
        <f>INDEX(Schnitt1!M:M,MATCH(L29,Schnitt1!L:L,0))+INDEX(Schnitt2!M:M,MATCH(L29,Schnitt2!L:L,0))</f>
        <v>967</v>
      </c>
      <c r="N29">
        <f>INDEX(Schnitt1!N:N,MATCH(L29,Schnitt1!L:L,0))+INDEX(Schnitt2!N:N,MATCH(L29,Schnitt2!L:L,0))</f>
        <v>5</v>
      </c>
      <c r="O29">
        <f t="shared" si="0"/>
        <v>193.399999971</v>
      </c>
      <c r="P29">
        <f t="shared" si="1"/>
        <v>4</v>
      </c>
    </row>
    <row r="30" spans="1:16" x14ac:dyDescent="0.2">
      <c r="A30">
        <f t="shared" si="6"/>
        <v>26</v>
      </c>
      <c r="B30">
        <f t="shared" si="2"/>
        <v>25944</v>
      </c>
      <c r="C30" t="str">
        <f>IFERROR(INDEX(Starter!B:B,MATCH(B30,Starter!A:A,0)),"")</f>
        <v>Kohl, Oswald</v>
      </c>
      <c r="D30" t="str">
        <f>IFERROR(INDEX(Starter!C:C,MATCH(B30,Starter!A:A,0)),"")</f>
        <v>BC Adler Nürnberg</v>
      </c>
      <c r="E30" s="92">
        <f t="shared" si="3"/>
        <v>1301</v>
      </c>
      <c r="F30">
        <f t="shared" si="4"/>
        <v>8</v>
      </c>
      <c r="G30" s="169">
        <f t="shared" si="5"/>
        <v>162.62499995900001</v>
      </c>
      <c r="L30" s="108">
        <f>INDEX(Starter!A:A,ROW()-1)</f>
        <v>7854</v>
      </c>
      <c r="M30">
        <f>INDEX(Schnitt1!M:M,MATCH(L30,Schnitt1!L:L,0))+INDEX(Schnitt2!M:M,MATCH(L30,Schnitt2!L:L,0))</f>
        <v>0</v>
      </c>
      <c r="N30">
        <f>INDEX(Schnitt1!N:N,MATCH(L30,Schnitt1!L:L,0))+INDEX(Schnitt2!N:N,MATCH(L30,Schnitt2!L:L,0))</f>
        <v>0</v>
      </c>
      <c r="O30">
        <f t="shared" si="0"/>
        <v>0</v>
      </c>
      <c r="P30">
        <f t="shared" si="1"/>
        <v>36</v>
      </c>
    </row>
    <row r="31" spans="1:16" x14ac:dyDescent="0.2">
      <c r="A31">
        <f t="shared" si="6"/>
        <v>27</v>
      </c>
      <c r="B31">
        <f t="shared" si="2"/>
        <v>38570</v>
      </c>
      <c r="C31" t="str">
        <f>IFERROR(INDEX(Starter!B:B,MATCH(B31,Starter!A:A,0)),"")</f>
        <v>Bothe, Willi</v>
      </c>
      <c r="D31" t="str">
        <f>IFERROR(INDEX(Starter!C:C,MATCH(B31,Starter!A:A,0)),"")</f>
        <v>BC Castra Regina Regensburg</v>
      </c>
      <c r="E31" s="92">
        <f t="shared" si="3"/>
        <v>487</v>
      </c>
      <c r="F31">
        <f t="shared" si="4"/>
        <v>3</v>
      </c>
      <c r="G31" s="169">
        <f t="shared" si="5"/>
        <v>162.33333329833334</v>
      </c>
      <c r="L31" s="108">
        <f>INDEX(Starter!A:A,ROW()-1)</f>
        <v>7849</v>
      </c>
      <c r="M31">
        <f>INDEX(Schnitt1!M:M,MATCH(L31,Schnitt1!L:L,0))+INDEX(Schnitt2!M:M,MATCH(L31,Schnitt2!L:L,0))</f>
        <v>879</v>
      </c>
      <c r="N31">
        <f>INDEX(Schnitt1!N:N,MATCH(L31,Schnitt1!L:L,0))+INDEX(Schnitt2!N:N,MATCH(L31,Schnitt2!L:L,0))</f>
        <v>5</v>
      </c>
      <c r="O31">
        <f t="shared" si="0"/>
        <v>175.799999969</v>
      </c>
      <c r="P31">
        <f t="shared" si="1"/>
        <v>20</v>
      </c>
    </row>
    <row r="32" spans="1:16" x14ac:dyDescent="0.2">
      <c r="A32">
        <f t="shared" si="6"/>
        <v>28</v>
      </c>
      <c r="B32">
        <f t="shared" si="2"/>
        <v>38870</v>
      </c>
      <c r="C32" t="str">
        <f>IFERROR(INDEX(Starter!B:B,MATCH(B32,Starter!A:A,0)),"")</f>
        <v>Martin, Dennis</v>
      </c>
      <c r="D32" t="str">
        <f>IFERROR(INDEX(Starter!C:C,MATCH(B32,Starter!A:A,0)),"")</f>
        <v>BC Castra Regina Regensburg</v>
      </c>
      <c r="E32" s="92">
        <f t="shared" si="3"/>
        <v>1590</v>
      </c>
      <c r="F32">
        <f t="shared" si="4"/>
        <v>10</v>
      </c>
      <c r="G32" s="169">
        <f t="shared" si="5"/>
        <v>158.999999976</v>
      </c>
      <c r="L32" s="108">
        <f>INDEX(Starter!A:A,ROW()-1)</f>
        <v>38869</v>
      </c>
      <c r="M32">
        <f>INDEX(Schnitt1!M:M,MATCH(L32,Schnitt1!L:L,0))+INDEX(Schnitt2!M:M,MATCH(L32,Schnitt2!L:L,0))</f>
        <v>1073</v>
      </c>
      <c r="N32">
        <f>INDEX(Schnitt1!N:N,MATCH(L32,Schnitt1!L:L,0))+INDEX(Schnitt2!N:N,MATCH(L32,Schnitt2!L:L,0))</f>
        <v>7</v>
      </c>
      <c r="O32">
        <f t="shared" si="0"/>
        <v>153.28571425371427</v>
      </c>
      <c r="P32">
        <f t="shared" si="1"/>
        <v>31</v>
      </c>
    </row>
    <row r="33" spans="1:16" x14ac:dyDescent="0.2">
      <c r="A33">
        <f t="shared" si="6"/>
        <v>29</v>
      </c>
      <c r="B33">
        <f t="shared" si="2"/>
        <v>25479</v>
      </c>
      <c r="C33" t="str">
        <f>IFERROR(INDEX(Starter!B:B,MATCH(B33,Starter!A:A,0)),"")</f>
        <v>Theisen, Alexander</v>
      </c>
      <c r="D33" t="str">
        <f>IFERROR(INDEX(Starter!C:C,MATCH(B33,Starter!A:A,0)),"")</f>
        <v>Kings Club Bayreuth</v>
      </c>
      <c r="E33" s="92">
        <f t="shared" si="3"/>
        <v>1588</v>
      </c>
      <c r="F33">
        <f t="shared" si="4"/>
        <v>10</v>
      </c>
      <c r="G33" s="169">
        <f t="shared" si="5"/>
        <v>158.79999999600003</v>
      </c>
      <c r="L33" s="108">
        <f>INDEX(Starter!A:A,ROW()-1)</f>
        <v>25895</v>
      </c>
      <c r="M33">
        <f>INDEX(Schnitt1!M:M,MATCH(L33,Schnitt1!L:L,0))+INDEX(Schnitt2!M:M,MATCH(L33,Schnitt2!L:L,0))</f>
        <v>1468</v>
      </c>
      <c r="N33">
        <f>INDEX(Schnitt1!N:N,MATCH(L33,Schnitt1!L:L,0))+INDEX(Schnitt2!N:N,MATCH(L33,Schnitt2!L:L,0))</f>
        <v>8</v>
      </c>
      <c r="O33">
        <f t="shared" si="0"/>
        <v>183.49999996700001</v>
      </c>
      <c r="P33">
        <f t="shared" si="1"/>
        <v>8</v>
      </c>
    </row>
    <row r="34" spans="1:16" x14ac:dyDescent="0.2">
      <c r="A34">
        <f t="shared" si="6"/>
        <v>30</v>
      </c>
      <c r="B34">
        <f t="shared" si="2"/>
        <v>7761</v>
      </c>
      <c r="C34" t="str">
        <f>IFERROR(INDEX(Starter!B:B,MATCH(B34,Starter!A:A,0)),"")</f>
        <v>Schmitt, Peter</v>
      </c>
      <c r="D34" t="str">
        <f>IFERROR(INDEX(Starter!C:C,MATCH(B34,Starter!A:A,0)),"")</f>
        <v>BC Adler Nürnberg</v>
      </c>
      <c r="E34" s="92">
        <f t="shared" si="3"/>
        <v>1089</v>
      </c>
      <c r="F34">
        <f t="shared" si="4"/>
        <v>7</v>
      </c>
      <c r="G34" s="169">
        <f t="shared" si="5"/>
        <v>155.57142853342859</v>
      </c>
      <c r="L34" s="108">
        <f>INDEX(Starter!A:A,ROW()-1)</f>
        <v>38260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0"/>
        <v>0</v>
      </c>
      <c r="P34">
        <f t="shared" si="1"/>
        <v>36</v>
      </c>
    </row>
    <row r="35" spans="1:16" x14ac:dyDescent="0.2">
      <c r="A35">
        <f t="shared" si="6"/>
        <v>31</v>
      </c>
      <c r="B35">
        <f t="shared" si="2"/>
        <v>38869</v>
      </c>
      <c r="C35" t="str">
        <f>IFERROR(INDEX(Starter!B:B,MATCH(B35,Starter!A:A,0)),"")</f>
        <v>Simon, Diana</v>
      </c>
      <c r="D35" t="str">
        <f>IFERROR(INDEX(Starter!C:C,MATCH(B35,Starter!A:A,0)),"")</f>
        <v>BC Castra Regina Regensburg</v>
      </c>
      <c r="E35" s="92">
        <f t="shared" si="3"/>
        <v>1073</v>
      </c>
      <c r="F35">
        <f t="shared" si="4"/>
        <v>7</v>
      </c>
      <c r="G35" s="169">
        <f t="shared" si="5"/>
        <v>153.28571425371427</v>
      </c>
      <c r="L35" s="108">
        <f>INDEX(Starter!A:A,ROW()-1)</f>
        <v>38570</v>
      </c>
      <c r="M35">
        <f>INDEX(Schnitt1!M:M,MATCH(L35,Schnitt1!L:L,0))+INDEX(Schnitt2!M:M,MATCH(L35,Schnitt2!L:L,0))</f>
        <v>487</v>
      </c>
      <c r="N35">
        <f>INDEX(Schnitt1!N:N,MATCH(L35,Schnitt1!L:L,0))+INDEX(Schnitt2!N:N,MATCH(L35,Schnitt2!L:L,0))</f>
        <v>3</v>
      </c>
      <c r="O35">
        <f t="shared" si="0"/>
        <v>162.33333329833334</v>
      </c>
      <c r="P35">
        <f t="shared" si="1"/>
        <v>27</v>
      </c>
    </row>
    <row r="36" spans="1:16" x14ac:dyDescent="0.2">
      <c r="A36">
        <f t="shared" si="6"/>
        <v>32</v>
      </c>
      <c r="B36">
        <f t="shared" si="2"/>
        <v>16897</v>
      </c>
      <c r="C36" t="str">
        <f>IFERROR(INDEX(Starter!B:B,MATCH(B36,Starter!A:A,0)),"")</f>
        <v>Hertel, Jürgen</v>
      </c>
      <c r="D36" t="str">
        <f>IFERROR(INDEX(Starter!C:C,MATCH(B36,Starter!A:A,0)),"")</f>
        <v>BC Herzogenaurach</v>
      </c>
      <c r="E36" s="92">
        <f t="shared" si="3"/>
        <v>305</v>
      </c>
      <c r="F36">
        <f t="shared" si="4"/>
        <v>2</v>
      </c>
      <c r="G36" s="169">
        <f t="shared" si="5"/>
        <v>152.49999995600001</v>
      </c>
      <c r="L36" s="108">
        <f>INDEX(Starter!A:A,ROW()-1)</f>
        <v>25723</v>
      </c>
      <c r="M36">
        <f>INDEX(Schnitt1!M:M,MATCH(L36,Schnitt1!L:L,0))+INDEX(Schnitt2!M:M,MATCH(L36,Schnitt2!L:L,0))</f>
        <v>969</v>
      </c>
      <c r="N36">
        <f>INDEX(Schnitt1!N:N,MATCH(L36,Schnitt1!L:L,0))+INDEX(Schnitt2!N:N,MATCH(L36,Schnitt2!L:L,0))</f>
        <v>5</v>
      </c>
      <c r="O36">
        <f t="shared" si="0"/>
        <v>193.79999996400002</v>
      </c>
      <c r="P36">
        <f t="shared" si="1"/>
        <v>3</v>
      </c>
    </row>
    <row r="37" spans="1:16" x14ac:dyDescent="0.2">
      <c r="A37">
        <f t="shared" si="6"/>
        <v>33</v>
      </c>
      <c r="B37">
        <f t="shared" si="2"/>
        <v>38507</v>
      </c>
      <c r="C37" t="str">
        <f>IFERROR(INDEX(Starter!B:B,MATCH(B37,Starter!A:A,0)),"")</f>
        <v>Piehl, Fred</v>
      </c>
      <c r="D37" t="str">
        <f>IFERROR(INDEX(Starter!C:C,MATCH(B37,Starter!A:A,0)),"")</f>
        <v>Kings Club Bayreuth</v>
      </c>
      <c r="E37" s="92">
        <f t="shared" si="3"/>
        <v>444</v>
      </c>
      <c r="F37">
        <f t="shared" si="4"/>
        <v>3</v>
      </c>
      <c r="G37" s="169">
        <f t="shared" si="5"/>
        <v>147.99999999400001</v>
      </c>
      <c r="L37" s="108">
        <f>INDEX(Starter!A:A,ROW()-1)</f>
        <v>7816</v>
      </c>
      <c r="M37">
        <f>INDEX(Schnitt1!M:M,MATCH(L37,Schnitt1!L:L,0))+INDEX(Schnitt2!M:M,MATCH(L37,Schnitt2!L:L,0))</f>
        <v>919</v>
      </c>
      <c r="N37">
        <f>INDEX(Schnitt1!N:N,MATCH(L37,Schnitt1!L:L,0))+INDEX(Schnitt2!N:N,MATCH(L37,Schnitt2!L:L,0))</f>
        <v>5</v>
      </c>
      <c r="O37">
        <f t="shared" si="0"/>
        <v>183.799999963</v>
      </c>
      <c r="P37">
        <f t="shared" si="1"/>
        <v>7</v>
      </c>
    </row>
    <row r="38" spans="1:16" x14ac:dyDescent="0.2">
      <c r="A38">
        <f t="shared" si="6"/>
        <v>34</v>
      </c>
      <c r="B38">
        <f t="shared" si="2"/>
        <v>7123</v>
      </c>
      <c r="C38" t="str">
        <f>IFERROR(INDEX(Starter!B:B,MATCH(B38,Starter!A:A,0)),"")</f>
        <v>Reichert, Roland</v>
      </c>
      <c r="D38" t="str">
        <f>IFERROR(INDEX(Starter!C:C,MATCH(B38,Starter!A:A,0)),"")</f>
        <v>Kings Club Bayreuth</v>
      </c>
      <c r="E38" s="92">
        <f t="shared" si="3"/>
        <v>1422</v>
      </c>
      <c r="F38">
        <f t="shared" si="4"/>
        <v>10</v>
      </c>
      <c r="G38" s="169">
        <f t="shared" si="5"/>
        <v>142.19999999699999</v>
      </c>
      <c r="L38" s="108">
        <f>INDEX(Starter!A:A,ROW()-1)</f>
        <v>7761</v>
      </c>
      <c r="M38">
        <f>INDEX(Schnitt1!M:M,MATCH(L38,Schnitt1!L:L,0))+INDEX(Schnitt2!M:M,MATCH(L38,Schnitt2!L:L,0))</f>
        <v>1089</v>
      </c>
      <c r="N38">
        <f>INDEX(Schnitt1!N:N,MATCH(L38,Schnitt1!L:L,0))+INDEX(Schnitt2!N:N,MATCH(L38,Schnitt2!L:L,0))</f>
        <v>7</v>
      </c>
      <c r="O38">
        <f t="shared" si="0"/>
        <v>155.57142853342859</v>
      </c>
      <c r="P38">
        <f t="shared" si="1"/>
        <v>30</v>
      </c>
    </row>
    <row r="39" spans="1:16" x14ac:dyDescent="0.2">
      <c r="A39">
        <f t="shared" si="6"/>
        <v>35</v>
      </c>
      <c r="B39">
        <f t="shared" si="2"/>
        <v>38152</v>
      </c>
      <c r="C39" t="str">
        <f>IFERROR(INDEX(Starter!B:B,MATCH(B39,Starter!A:A,0)),"")</f>
        <v>Hirsch, Edmund</v>
      </c>
      <c r="D39" t="str">
        <f>IFERROR(INDEX(Starter!C:C,MATCH(B39,Starter!A:A,0)),"")</f>
        <v>Kings Club Bayreuth</v>
      </c>
      <c r="E39" s="92">
        <f t="shared" si="3"/>
        <v>282</v>
      </c>
      <c r="F39">
        <f t="shared" si="4"/>
        <v>2</v>
      </c>
      <c r="G39" s="169">
        <f t="shared" si="5"/>
        <v>140.99999998800001</v>
      </c>
      <c r="L39" s="108">
        <f>INDEX(Starter!A:A,ROW()-1)</f>
        <v>7714</v>
      </c>
      <c r="M39">
        <f>INDEX(Schnitt1!M:M,MATCH(L39,Schnitt1!L:L,0))+INDEX(Schnitt2!M:M,MATCH(L39,Schnitt2!L:L,0))</f>
        <v>904</v>
      </c>
      <c r="N39">
        <f>INDEX(Schnitt1!N:N,MATCH(L39,Schnitt1!L:L,0))+INDEX(Schnitt2!N:N,MATCH(L39,Schnitt2!L:L,0))</f>
        <v>5</v>
      </c>
      <c r="O39">
        <f t="shared" si="0"/>
        <v>180.799999961</v>
      </c>
      <c r="P39">
        <f t="shared" si="1"/>
        <v>15</v>
      </c>
    </row>
    <row r="40" spans="1:16" x14ac:dyDescent="0.2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92" t="str">
        <f t="shared" si="3"/>
        <v/>
      </c>
      <c r="F40" t="str">
        <f t="shared" si="4"/>
        <v/>
      </c>
      <c r="G40" s="169" t="str">
        <f t="shared" si="5"/>
        <v/>
      </c>
      <c r="L40" s="108">
        <f>INDEX(Starter!A:A,ROW()-1)</f>
        <v>25811</v>
      </c>
      <c r="M40">
        <f>INDEX(Schnitt1!M:M,MATCH(L40,Schnitt1!L:L,0))+INDEX(Schnitt2!M:M,MATCH(L40,Schnitt2!L:L,0))</f>
        <v>1718</v>
      </c>
      <c r="N40">
        <f>INDEX(Schnitt1!N:N,MATCH(L40,Schnitt1!L:L,0))+INDEX(Schnitt2!N:N,MATCH(L40,Schnitt2!L:L,0))</f>
        <v>10</v>
      </c>
      <c r="O40">
        <f t="shared" si="0"/>
        <v>171.79999996000001</v>
      </c>
      <c r="P40">
        <f t="shared" si="1"/>
        <v>22</v>
      </c>
    </row>
    <row r="41" spans="1:16" x14ac:dyDescent="0.2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92" t="str">
        <f t="shared" si="3"/>
        <v/>
      </c>
      <c r="F41" t="str">
        <f t="shared" si="4"/>
        <v/>
      </c>
      <c r="G41" s="169" t="str">
        <f t="shared" si="5"/>
        <v/>
      </c>
      <c r="L41" s="108">
        <f>INDEX(Starter!A:A,ROW()-1)</f>
        <v>25944</v>
      </c>
      <c r="M41">
        <f>INDEX(Schnitt1!M:M,MATCH(L41,Schnitt1!L:L,0))+INDEX(Schnitt2!M:M,MATCH(L41,Schnitt2!L:L,0))</f>
        <v>1301</v>
      </c>
      <c r="N41">
        <f>INDEX(Schnitt1!N:N,MATCH(L41,Schnitt1!L:L,0))+INDEX(Schnitt2!N:N,MATCH(L41,Schnitt2!L:L,0))</f>
        <v>8</v>
      </c>
      <c r="O41">
        <f t="shared" si="0"/>
        <v>162.62499995900001</v>
      </c>
      <c r="P41">
        <f t="shared" si="1"/>
        <v>26</v>
      </c>
    </row>
    <row r="42" spans="1:16" x14ac:dyDescent="0.2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92" t="str">
        <f t="shared" si="3"/>
        <v/>
      </c>
      <c r="F42" t="str">
        <f t="shared" si="4"/>
        <v/>
      </c>
      <c r="G42" s="169" t="str">
        <f t="shared" si="5"/>
        <v/>
      </c>
      <c r="L42" s="108">
        <f>INDEX(Starter!A:A,ROW()-1)</f>
        <v>16707</v>
      </c>
      <c r="M42">
        <f>INDEX(Schnitt1!M:M,MATCH(L42,Schnitt1!L:L,0))+INDEX(Schnitt2!M:M,MATCH(L42,Schnitt2!L:L,0))</f>
        <v>1784</v>
      </c>
      <c r="N42">
        <f>INDEX(Schnitt1!N:N,MATCH(L42,Schnitt1!L:L,0))+INDEX(Schnitt2!N:N,MATCH(L42,Schnitt2!L:L,0))</f>
        <v>10</v>
      </c>
      <c r="O42">
        <f t="shared" si="0"/>
        <v>178.399999958</v>
      </c>
      <c r="P42">
        <f t="shared" si="1"/>
        <v>17</v>
      </c>
    </row>
    <row r="43" spans="1:16" x14ac:dyDescent="0.2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92" t="str">
        <f t="shared" si="3"/>
        <v/>
      </c>
      <c r="F43" t="str">
        <f t="shared" si="4"/>
        <v/>
      </c>
      <c r="G43" s="169" t="str">
        <f t="shared" si="5"/>
        <v/>
      </c>
      <c r="L43" s="108">
        <f>INDEX(Starter!A:A,ROW()-1)</f>
        <v>25760</v>
      </c>
      <c r="M43">
        <f>INDEX(Schnitt1!M:M,MATCH(L43,Schnitt1!L:L,0))+INDEX(Schnitt2!M:M,MATCH(L43,Schnitt2!L:L,0))</f>
        <v>1828</v>
      </c>
      <c r="N43">
        <f>INDEX(Schnitt1!N:N,MATCH(L43,Schnitt1!L:L,0))+INDEX(Schnitt2!N:N,MATCH(L43,Schnitt2!L:L,0))</f>
        <v>10</v>
      </c>
      <c r="O43">
        <f t="shared" si="0"/>
        <v>182.79999995700001</v>
      </c>
      <c r="P43">
        <f t="shared" si="1"/>
        <v>11</v>
      </c>
    </row>
    <row r="44" spans="1:16" x14ac:dyDescent="0.2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92" t="str">
        <f t="shared" si="3"/>
        <v/>
      </c>
      <c r="F44" t="str">
        <f t="shared" si="4"/>
        <v/>
      </c>
      <c r="G44" s="169" t="str">
        <f t="shared" si="5"/>
        <v/>
      </c>
      <c r="L44" s="108">
        <f>INDEX(Starter!A:A,ROW()-1)</f>
        <v>16897</v>
      </c>
      <c r="M44">
        <f>INDEX(Schnitt1!M:M,MATCH(L44,Schnitt1!L:L,0))+INDEX(Schnitt2!M:M,MATCH(L44,Schnitt2!L:L,0))</f>
        <v>305</v>
      </c>
      <c r="N44">
        <f>INDEX(Schnitt1!N:N,MATCH(L44,Schnitt1!L:L,0))+INDEX(Schnitt2!N:N,MATCH(L44,Schnitt2!L:L,0))</f>
        <v>2</v>
      </c>
      <c r="O44">
        <f t="shared" si="0"/>
        <v>152.49999995600001</v>
      </c>
      <c r="P44">
        <f t="shared" si="1"/>
        <v>32</v>
      </c>
    </row>
    <row r="45" spans="1:16" x14ac:dyDescent="0.2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92" t="str">
        <f t="shared" si="3"/>
        <v/>
      </c>
      <c r="F45" t="str">
        <f t="shared" si="4"/>
        <v/>
      </c>
      <c r="G45" s="169" t="str">
        <f t="shared" si="5"/>
        <v/>
      </c>
      <c r="L45" s="108">
        <f>INDEX(Starter!A:A,ROW()-1)</f>
        <v>7126</v>
      </c>
      <c r="M45">
        <f>INDEX(Schnitt1!M:M,MATCH(L45,Schnitt1!L:L,0))+INDEX(Schnitt2!M:M,MATCH(L45,Schnitt2!L:L,0))</f>
        <v>0</v>
      </c>
      <c r="N45">
        <f>INDEX(Schnitt1!N:N,MATCH(L45,Schnitt1!L:L,0))+INDEX(Schnitt2!N:N,MATCH(L45,Schnitt2!L:L,0))</f>
        <v>0</v>
      </c>
      <c r="O45">
        <f t="shared" si="0"/>
        <v>0</v>
      </c>
      <c r="P45">
        <f t="shared" si="1"/>
        <v>36</v>
      </c>
    </row>
    <row r="46" spans="1:16" x14ac:dyDescent="0.2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92" t="str">
        <f t="shared" si="3"/>
        <v/>
      </c>
      <c r="F46" t="str">
        <f t="shared" si="4"/>
        <v/>
      </c>
      <c r="G46" s="169" t="str">
        <f t="shared" si="5"/>
        <v/>
      </c>
      <c r="L46" s="108">
        <f>INDEX(Starter!A:A,ROW()-1)</f>
        <v>0</v>
      </c>
      <c r="M46">
        <f>INDEX(Schnitt1!M:M,MATCH(L46,Schnitt1!L:L,0))+INDEX(Schnitt2!M:M,MATCH(L46,Schnitt2!L:L,0))</f>
        <v>0</v>
      </c>
      <c r="N46">
        <f>INDEX(Schnitt1!N:N,MATCH(L46,Schnitt1!L:L,0))+INDEX(Schnitt2!N:N,MATCH(L46,Schnitt2!L:L,0))</f>
        <v>0</v>
      </c>
      <c r="O46">
        <f t="shared" si="0"/>
        <v>0</v>
      </c>
      <c r="P46">
        <f t="shared" si="1"/>
        <v>36</v>
      </c>
    </row>
    <row r="47" spans="1:16" x14ac:dyDescent="0.2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92" t="str">
        <f t="shared" si="3"/>
        <v/>
      </c>
      <c r="F47" t="str">
        <f t="shared" si="4"/>
        <v/>
      </c>
      <c r="G47" s="169" t="str">
        <f t="shared" si="5"/>
        <v/>
      </c>
      <c r="L47" s="108">
        <f>INDEX(Starter!A:A,ROW()-1)</f>
        <v>0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36</v>
      </c>
    </row>
    <row r="48" spans="1:16" x14ac:dyDescent="0.2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92" t="str">
        <f t="shared" si="3"/>
        <v/>
      </c>
      <c r="F48" t="str">
        <f t="shared" si="4"/>
        <v/>
      </c>
      <c r="G48" s="169" t="str">
        <f t="shared" si="5"/>
        <v/>
      </c>
      <c r="L48" s="108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36</v>
      </c>
    </row>
    <row r="49" spans="1:16" x14ac:dyDescent="0.2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92" t="str">
        <f t="shared" si="3"/>
        <v/>
      </c>
      <c r="F49" t="str">
        <f t="shared" si="4"/>
        <v/>
      </c>
      <c r="G49" s="169" t="str">
        <f t="shared" si="5"/>
        <v/>
      </c>
      <c r="L49" s="108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36</v>
      </c>
    </row>
    <row r="50" spans="1:16" x14ac:dyDescent="0.2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92" t="str">
        <f t="shared" si="3"/>
        <v/>
      </c>
      <c r="F50" t="str">
        <f t="shared" si="4"/>
        <v/>
      </c>
      <c r="G50" s="169" t="str">
        <f t="shared" si="5"/>
        <v/>
      </c>
      <c r="L50" s="108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36</v>
      </c>
    </row>
    <row r="51" spans="1:16" x14ac:dyDescent="0.2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92" t="str">
        <f t="shared" si="3"/>
        <v/>
      </c>
      <c r="F51" t="str">
        <f t="shared" si="4"/>
        <v/>
      </c>
      <c r="G51" s="169" t="str">
        <f t="shared" si="5"/>
        <v/>
      </c>
      <c r="L51" s="108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36</v>
      </c>
    </row>
    <row r="52" spans="1:16" x14ac:dyDescent="0.2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92" t="str">
        <f t="shared" si="3"/>
        <v/>
      </c>
      <c r="F52" t="str">
        <f t="shared" si="4"/>
        <v/>
      </c>
      <c r="G52" s="169" t="str">
        <f t="shared" si="5"/>
        <v/>
      </c>
      <c r="L52" s="108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36</v>
      </c>
    </row>
    <row r="53" spans="1:16" x14ac:dyDescent="0.2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92" t="str">
        <f t="shared" si="3"/>
        <v/>
      </c>
      <c r="F53" t="str">
        <f t="shared" si="4"/>
        <v/>
      </c>
      <c r="G53" s="169" t="str">
        <f t="shared" si="5"/>
        <v/>
      </c>
      <c r="L53" s="108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36</v>
      </c>
    </row>
    <row r="54" spans="1:16" x14ac:dyDescent="0.2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92" t="str">
        <f t="shared" si="3"/>
        <v/>
      </c>
      <c r="F54" t="str">
        <f t="shared" si="4"/>
        <v/>
      </c>
      <c r="G54" s="169" t="str">
        <f t="shared" si="5"/>
        <v/>
      </c>
      <c r="L54" s="108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36</v>
      </c>
    </row>
    <row r="55" spans="1:16" x14ac:dyDescent="0.2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92" t="str">
        <f t="shared" si="3"/>
        <v/>
      </c>
      <c r="F55" t="str">
        <f t="shared" si="4"/>
        <v/>
      </c>
      <c r="G55" s="169" t="str">
        <f t="shared" si="5"/>
        <v/>
      </c>
      <c r="L55" s="108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36</v>
      </c>
    </row>
    <row r="56" spans="1:16" x14ac:dyDescent="0.2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92" t="str">
        <f t="shared" si="3"/>
        <v/>
      </c>
      <c r="F56" t="str">
        <f t="shared" si="4"/>
        <v/>
      </c>
      <c r="G56" s="169" t="str">
        <f t="shared" si="5"/>
        <v/>
      </c>
      <c r="L56" s="108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36</v>
      </c>
    </row>
    <row r="57" spans="1:16" x14ac:dyDescent="0.2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92" t="str">
        <f t="shared" si="3"/>
        <v/>
      </c>
      <c r="F57" t="str">
        <f t="shared" si="4"/>
        <v/>
      </c>
      <c r="G57" s="169" t="str">
        <f t="shared" si="5"/>
        <v/>
      </c>
      <c r="L57" s="108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36</v>
      </c>
    </row>
    <row r="58" spans="1:16" x14ac:dyDescent="0.2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92" t="str">
        <f t="shared" si="3"/>
        <v/>
      </c>
      <c r="F58" t="str">
        <f t="shared" si="4"/>
        <v/>
      </c>
      <c r="G58" s="169" t="str">
        <f t="shared" si="5"/>
        <v/>
      </c>
      <c r="L58" s="108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36</v>
      </c>
    </row>
    <row r="59" spans="1:16" x14ac:dyDescent="0.2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92" t="str">
        <f t="shared" si="3"/>
        <v/>
      </c>
      <c r="F59" t="str">
        <f t="shared" si="4"/>
        <v/>
      </c>
      <c r="G59" s="169" t="str">
        <f t="shared" si="5"/>
        <v/>
      </c>
      <c r="L59" s="108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36</v>
      </c>
    </row>
    <row r="60" spans="1:16" x14ac:dyDescent="0.2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92" t="str">
        <f t="shared" si="3"/>
        <v/>
      </c>
      <c r="F60" t="str">
        <f t="shared" si="4"/>
        <v/>
      </c>
      <c r="G60" s="169" t="str">
        <f t="shared" si="5"/>
        <v/>
      </c>
      <c r="L60" s="108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36</v>
      </c>
    </row>
    <row r="61" spans="1:16" x14ac:dyDescent="0.2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92" t="str">
        <f t="shared" si="3"/>
        <v/>
      </c>
      <c r="F61" t="str">
        <f t="shared" si="4"/>
        <v/>
      </c>
      <c r="G61" s="169" t="str">
        <f t="shared" si="5"/>
        <v/>
      </c>
      <c r="L61" s="108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36</v>
      </c>
    </row>
    <row r="62" spans="1:16" x14ac:dyDescent="0.2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92" t="str">
        <f t="shared" si="3"/>
        <v/>
      </c>
      <c r="F62" t="str">
        <f t="shared" si="4"/>
        <v/>
      </c>
      <c r="G62" s="169" t="str">
        <f t="shared" si="5"/>
        <v/>
      </c>
      <c r="L62" s="108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36</v>
      </c>
    </row>
    <row r="63" spans="1:16" x14ac:dyDescent="0.2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92" t="str">
        <f t="shared" si="3"/>
        <v/>
      </c>
      <c r="F63" t="str">
        <f t="shared" si="4"/>
        <v/>
      </c>
      <c r="G63" s="169" t="str">
        <f t="shared" si="5"/>
        <v/>
      </c>
      <c r="L63" s="108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36</v>
      </c>
    </row>
    <row r="64" spans="1:16" x14ac:dyDescent="0.2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92" t="str">
        <f t="shared" si="3"/>
        <v/>
      </c>
      <c r="F64" t="str">
        <f t="shared" si="4"/>
        <v/>
      </c>
      <c r="G64" s="169" t="str">
        <f t="shared" si="5"/>
        <v/>
      </c>
      <c r="L64" s="108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36</v>
      </c>
    </row>
    <row r="65" spans="1:16" x14ac:dyDescent="0.2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92" t="str">
        <f t="shared" si="3"/>
        <v/>
      </c>
      <c r="F65" t="str">
        <f t="shared" si="4"/>
        <v/>
      </c>
      <c r="G65" s="169" t="str">
        <f t="shared" si="5"/>
        <v/>
      </c>
      <c r="L65" s="108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36</v>
      </c>
    </row>
    <row r="66" spans="1:16" x14ac:dyDescent="0.2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92" t="str">
        <f t="shared" si="3"/>
        <v/>
      </c>
      <c r="F66" t="str">
        <f t="shared" si="4"/>
        <v/>
      </c>
      <c r="G66" s="169" t="str">
        <f t="shared" si="5"/>
        <v/>
      </c>
      <c r="L66" s="108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36</v>
      </c>
    </row>
    <row r="67" spans="1:16" x14ac:dyDescent="0.2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92" t="str">
        <f t="shared" si="3"/>
        <v/>
      </c>
      <c r="F67" t="str">
        <f t="shared" si="4"/>
        <v/>
      </c>
      <c r="G67" s="169" t="str">
        <f t="shared" si="5"/>
        <v/>
      </c>
      <c r="L67" s="108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36</v>
      </c>
    </row>
    <row r="68" spans="1:16" x14ac:dyDescent="0.2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92" t="str">
        <f t="shared" si="3"/>
        <v/>
      </c>
      <c r="F68" t="str">
        <f t="shared" si="4"/>
        <v/>
      </c>
      <c r="G68" s="169" t="str">
        <f t="shared" si="5"/>
        <v/>
      </c>
      <c r="L68" s="108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36</v>
      </c>
    </row>
    <row r="69" spans="1:16" x14ac:dyDescent="0.2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92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69" t="str">
        <f t="shared" ref="G69:G104" si="12">IFERROR(INDEX(O:O,MATCH(A69,P:P,0)),"")</f>
        <v/>
      </c>
      <c r="L69" s="108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36</v>
      </c>
    </row>
    <row r="70" spans="1:16" x14ac:dyDescent="0.2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92" t="str">
        <f t="shared" si="10"/>
        <v/>
      </c>
      <c r="F70" t="str">
        <f t="shared" si="11"/>
        <v/>
      </c>
      <c r="G70" s="169" t="str">
        <f t="shared" si="12"/>
        <v/>
      </c>
      <c r="L70" s="108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36</v>
      </c>
    </row>
    <row r="71" spans="1:16" x14ac:dyDescent="0.2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92" t="str">
        <f t="shared" si="10"/>
        <v/>
      </c>
      <c r="F71" t="str">
        <f t="shared" si="11"/>
        <v/>
      </c>
      <c r="G71" s="169" t="str">
        <f t="shared" si="12"/>
        <v/>
      </c>
      <c r="L71" s="108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36</v>
      </c>
    </row>
    <row r="72" spans="1:16" x14ac:dyDescent="0.2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92" t="str">
        <f t="shared" si="10"/>
        <v/>
      </c>
      <c r="F72" t="str">
        <f t="shared" si="11"/>
        <v/>
      </c>
      <c r="G72" s="169" t="str">
        <f t="shared" si="12"/>
        <v/>
      </c>
      <c r="L72" s="108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36</v>
      </c>
    </row>
    <row r="73" spans="1:16" x14ac:dyDescent="0.2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92" t="str">
        <f t="shared" si="10"/>
        <v/>
      </c>
      <c r="F73" t="str">
        <f t="shared" si="11"/>
        <v/>
      </c>
      <c r="G73" s="169" t="str">
        <f t="shared" si="12"/>
        <v/>
      </c>
      <c r="L73" s="108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36</v>
      </c>
    </row>
    <row r="74" spans="1:16" x14ac:dyDescent="0.2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92" t="str">
        <f t="shared" si="10"/>
        <v/>
      </c>
      <c r="F74" t="str">
        <f t="shared" si="11"/>
        <v/>
      </c>
      <c r="G74" s="169" t="str">
        <f t="shared" si="12"/>
        <v/>
      </c>
      <c r="L74" s="108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36</v>
      </c>
    </row>
    <row r="75" spans="1:16" x14ac:dyDescent="0.2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92" t="str">
        <f t="shared" si="10"/>
        <v/>
      </c>
      <c r="F75" t="str">
        <f t="shared" si="11"/>
        <v/>
      </c>
      <c r="G75" s="169" t="str">
        <f t="shared" si="12"/>
        <v/>
      </c>
      <c r="L75" s="108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36</v>
      </c>
    </row>
    <row r="76" spans="1:16" x14ac:dyDescent="0.2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92" t="str">
        <f t="shared" si="10"/>
        <v/>
      </c>
      <c r="F76" t="str">
        <f t="shared" si="11"/>
        <v/>
      </c>
      <c r="G76" s="169" t="str">
        <f t="shared" si="12"/>
        <v/>
      </c>
      <c r="L76" s="108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36</v>
      </c>
    </row>
    <row r="77" spans="1:16" x14ac:dyDescent="0.2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92" t="str">
        <f t="shared" si="10"/>
        <v/>
      </c>
      <c r="F77" t="str">
        <f t="shared" si="11"/>
        <v/>
      </c>
      <c r="G77" s="169" t="str">
        <f t="shared" si="12"/>
        <v/>
      </c>
      <c r="L77" s="108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36</v>
      </c>
    </row>
    <row r="78" spans="1:16" x14ac:dyDescent="0.2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92" t="str">
        <f t="shared" si="10"/>
        <v/>
      </c>
      <c r="F78" t="str">
        <f t="shared" si="11"/>
        <v/>
      </c>
      <c r="G78" s="169" t="str">
        <f t="shared" si="12"/>
        <v/>
      </c>
      <c r="L78" s="108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36</v>
      </c>
    </row>
    <row r="79" spans="1:16" x14ac:dyDescent="0.2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92" t="str">
        <f t="shared" si="10"/>
        <v/>
      </c>
      <c r="F79" t="str">
        <f t="shared" si="11"/>
        <v/>
      </c>
      <c r="G79" s="169" t="str">
        <f t="shared" si="12"/>
        <v/>
      </c>
      <c r="L79" s="108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36</v>
      </c>
    </row>
    <row r="80" spans="1:16" x14ac:dyDescent="0.2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92" t="str">
        <f t="shared" si="10"/>
        <v/>
      </c>
      <c r="F80" t="str">
        <f t="shared" si="11"/>
        <v/>
      </c>
      <c r="G80" s="169" t="str">
        <f t="shared" si="12"/>
        <v/>
      </c>
      <c r="L80" s="108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36</v>
      </c>
    </row>
    <row r="81" spans="1:16" x14ac:dyDescent="0.2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92" t="str">
        <f t="shared" si="10"/>
        <v/>
      </c>
      <c r="F81" t="str">
        <f t="shared" si="11"/>
        <v/>
      </c>
      <c r="G81" s="169" t="str">
        <f t="shared" si="12"/>
        <v/>
      </c>
      <c r="L81" s="108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36</v>
      </c>
    </row>
    <row r="82" spans="1:16" x14ac:dyDescent="0.2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92" t="str">
        <f t="shared" si="10"/>
        <v/>
      </c>
      <c r="F82" t="str">
        <f t="shared" si="11"/>
        <v/>
      </c>
      <c r="G82" s="169" t="str">
        <f t="shared" si="12"/>
        <v/>
      </c>
      <c r="L82" s="108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36</v>
      </c>
    </row>
    <row r="83" spans="1:16" x14ac:dyDescent="0.2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92" t="str">
        <f t="shared" si="10"/>
        <v/>
      </c>
      <c r="F83" t="str">
        <f t="shared" si="11"/>
        <v/>
      </c>
      <c r="G83" s="169" t="str">
        <f t="shared" si="12"/>
        <v/>
      </c>
      <c r="L83" s="108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36</v>
      </c>
    </row>
    <row r="84" spans="1:16" x14ac:dyDescent="0.2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92" t="str">
        <f t="shared" si="10"/>
        <v/>
      </c>
      <c r="F84" t="str">
        <f t="shared" si="11"/>
        <v/>
      </c>
      <c r="G84" s="169" t="str">
        <f t="shared" si="12"/>
        <v/>
      </c>
      <c r="L84" s="108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36</v>
      </c>
    </row>
    <row r="85" spans="1:16" x14ac:dyDescent="0.2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92" t="str">
        <f t="shared" si="10"/>
        <v/>
      </c>
      <c r="F85" t="str">
        <f t="shared" si="11"/>
        <v/>
      </c>
      <c r="G85" s="169" t="str">
        <f t="shared" si="12"/>
        <v/>
      </c>
      <c r="L85" s="108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36</v>
      </c>
    </row>
    <row r="86" spans="1:16" x14ac:dyDescent="0.2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92" t="str">
        <f t="shared" si="10"/>
        <v/>
      </c>
      <c r="F86" t="str">
        <f t="shared" si="11"/>
        <v/>
      </c>
      <c r="G86" s="169" t="str">
        <f t="shared" si="12"/>
        <v/>
      </c>
      <c r="L86" s="108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36</v>
      </c>
    </row>
    <row r="87" spans="1:16" x14ac:dyDescent="0.2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92" t="str">
        <f t="shared" si="10"/>
        <v/>
      </c>
      <c r="F87" t="str">
        <f t="shared" si="11"/>
        <v/>
      </c>
      <c r="G87" s="169" t="str">
        <f t="shared" si="12"/>
        <v/>
      </c>
      <c r="L87" s="108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36</v>
      </c>
    </row>
    <row r="88" spans="1:16" x14ac:dyDescent="0.2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92" t="str">
        <f t="shared" si="10"/>
        <v/>
      </c>
      <c r="F88" t="str">
        <f t="shared" si="11"/>
        <v/>
      </c>
      <c r="G88" s="169" t="str">
        <f t="shared" si="12"/>
        <v/>
      </c>
      <c r="L88" s="108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36</v>
      </c>
    </row>
    <row r="89" spans="1:16" x14ac:dyDescent="0.2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92" t="str">
        <f t="shared" si="10"/>
        <v/>
      </c>
      <c r="F89" t="str">
        <f t="shared" si="11"/>
        <v/>
      </c>
      <c r="G89" s="169" t="str">
        <f t="shared" si="12"/>
        <v/>
      </c>
      <c r="L89" s="108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36</v>
      </c>
    </row>
    <row r="90" spans="1:16" x14ac:dyDescent="0.2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92" t="str">
        <f t="shared" si="10"/>
        <v/>
      </c>
      <c r="F90" t="str">
        <f t="shared" si="11"/>
        <v/>
      </c>
      <c r="G90" s="169" t="str">
        <f t="shared" si="12"/>
        <v/>
      </c>
      <c r="L90" s="108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36</v>
      </c>
    </row>
    <row r="91" spans="1:16" x14ac:dyDescent="0.2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92" t="str">
        <f t="shared" si="10"/>
        <v/>
      </c>
      <c r="F91" t="str">
        <f t="shared" si="11"/>
        <v/>
      </c>
      <c r="G91" s="169" t="str">
        <f t="shared" si="12"/>
        <v/>
      </c>
      <c r="L91" s="108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36</v>
      </c>
    </row>
    <row r="92" spans="1:16" x14ac:dyDescent="0.2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92" t="str">
        <f t="shared" si="10"/>
        <v/>
      </c>
      <c r="F92" t="str">
        <f t="shared" si="11"/>
        <v/>
      </c>
      <c r="G92" s="169" t="str">
        <f t="shared" si="12"/>
        <v/>
      </c>
      <c r="L92" s="108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36</v>
      </c>
    </row>
    <row r="93" spans="1:16" x14ac:dyDescent="0.2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92" t="str">
        <f t="shared" si="10"/>
        <v/>
      </c>
      <c r="F93" t="str">
        <f t="shared" si="11"/>
        <v/>
      </c>
      <c r="G93" s="169" t="str">
        <f t="shared" si="12"/>
        <v/>
      </c>
      <c r="L93" s="108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36</v>
      </c>
    </row>
    <row r="94" spans="1:16" x14ac:dyDescent="0.2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92" t="str">
        <f t="shared" si="10"/>
        <v/>
      </c>
      <c r="F94" t="str">
        <f t="shared" si="11"/>
        <v/>
      </c>
      <c r="G94" s="169" t="str">
        <f t="shared" si="12"/>
        <v/>
      </c>
      <c r="L94" s="108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36</v>
      </c>
    </row>
    <row r="95" spans="1:16" x14ac:dyDescent="0.2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92" t="str">
        <f t="shared" si="10"/>
        <v/>
      </c>
      <c r="F95" t="str">
        <f t="shared" si="11"/>
        <v/>
      </c>
      <c r="G95" s="169" t="str">
        <f t="shared" si="12"/>
        <v/>
      </c>
      <c r="L95" s="108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36</v>
      </c>
    </row>
    <row r="96" spans="1:16" x14ac:dyDescent="0.2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92" t="str">
        <f t="shared" si="10"/>
        <v/>
      </c>
      <c r="F96" t="str">
        <f t="shared" si="11"/>
        <v/>
      </c>
      <c r="G96" s="169" t="str">
        <f t="shared" si="12"/>
        <v/>
      </c>
      <c r="L96" s="108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36</v>
      </c>
    </row>
    <row r="97" spans="1:16" x14ac:dyDescent="0.2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92" t="str">
        <f t="shared" si="10"/>
        <v/>
      </c>
      <c r="F97" t="str">
        <f t="shared" si="11"/>
        <v/>
      </c>
      <c r="G97" s="169" t="str">
        <f t="shared" si="12"/>
        <v/>
      </c>
      <c r="L97" s="108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36</v>
      </c>
    </row>
    <row r="98" spans="1:16" x14ac:dyDescent="0.2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92" t="str">
        <f t="shared" si="10"/>
        <v/>
      </c>
      <c r="F98" t="str">
        <f t="shared" si="11"/>
        <v/>
      </c>
      <c r="G98" s="169" t="str">
        <f t="shared" si="12"/>
        <v/>
      </c>
      <c r="L98" s="108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36</v>
      </c>
    </row>
    <row r="99" spans="1:16" x14ac:dyDescent="0.2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92" t="str">
        <f t="shared" si="10"/>
        <v/>
      </c>
      <c r="F99" t="str">
        <f t="shared" si="11"/>
        <v/>
      </c>
      <c r="G99" s="169" t="str">
        <f t="shared" si="12"/>
        <v/>
      </c>
      <c r="L99" s="108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36</v>
      </c>
    </row>
    <row r="100" spans="1:16" x14ac:dyDescent="0.2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92" t="str">
        <f t="shared" si="10"/>
        <v/>
      </c>
      <c r="F100" t="str">
        <f t="shared" si="11"/>
        <v/>
      </c>
      <c r="G100" s="169" t="str">
        <f t="shared" si="12"/>
        <v/>
      </c>
      <c r="L100" s="108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36</v>
      </c>
    </row>
    <row r="101" spans="1:16" x14ac:dyDescent="0.2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92" t="str">
        <f t="shared" si="10"/>
        <v/>
      </c>
      <c r="F101" t="str">
        <f t="shared" si="11"/>
        <v/>
      </c>
      <c r="G101" s="169" t="str">
        <f t="shared" si="12"/>
        <v/>
      </c>
      <c r="L101" s="108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36</v>
      </c>
    </row>
    <row r="102" spans="1:16" x14ac:dyDescent="0.2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92" t="str">
        <f t="shared" si="10"/>
        <v/>
      </c>
      <c r="F102" t="str">
        <f t="shared" si="11"/>
        <v/>
      </c>
      <c r="G102" s="169" t="str">
        <f t="shared" si="12"/>
        <v/>
      </c>
      <c r="L102" s="108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36</v>
      </c>
    </row>
    <row r="103" spans="1:16" x14ac:dyDescent="0.2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92" t="str">
        <f t="shared" si="10"/>
        <v/>
      </c>
      <c r="F103" t="str">
        <f t="shared" si="11"/>
        <v/>
      </c>
      <c r="G103" s="169" t="str">
        <f t="shared" si="12"/>
        <v/>
      </c>
      <c r="L103" s="108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36</v>
      </c>
    </row>
    <row r="104" spans="1:16" x14ac:dyDescent="0.2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92" t="str">
        <f t="shared" si="10"/>
        <v/>
      </c>
      <c r="F104" t="str">
        <f t="shared" si="11"/>
        <v/>
      </c>
      <c r="G104" s="169" t="str">
        <f t="shared" si="12"/>
        <v/>
      </c>
      <c r="L104" s="108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36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F8FE-F8DB-492F-A3D3-D8D17C0A22B5}">
  <sheetPr>
    <tabColor theme="1"/>
    <pageSetUpPr autoPageBreaks="0"/>
  </sheetPr>
  <dimension ref="A1:V86"/>
  <sheetViews>
    <sheetView showGridLines="0" zoomScaleNormal="100" workbookViewId="0">
      <selection activeCell="L12" sqref="L1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+Spielzettel3!M2</f>
        <v>3</v>
      </c>
      <c r="F6" s="336"/>
      <c r="P6" s="128" t="s">
        <v>1825</v>
      </c>
      <c r="Q6" s="337" t="str">
        <f>+Spielzettel3!L1</f>
        <v>16.02.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+Spielzettel3!D2</f>
        <v>Nürnberg West Bowling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+Spielzettel3!D1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/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/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/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/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2372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hidden="1" customHeight="1" x14ac:dyDescent="0.2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/>
      <c r="I31" s="145"/>
      <c r="J31" s="147" t="s">
        <v>1841</v>
      </c>
      <c r="K31" s="147"/>
      <c r="L31" s="146"/>
      <c r="M31" s="147" t="s">
        <v>1830</v>
      </c>
      <c r="N31" s="147"/>
      <c r="O31" s="147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/>
      <c r="H34" t="s">
        <v>1832</v>
      </c>
      <c r="J34" s="137"/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/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/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/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C32A4-C128-4FA3-92B6-CB2BCD9EE66A}">
  <sheetPr>
    <tabColor rgb="FFFF0000"/>
  </sheetPr>
  <dimension ref="A1:AC174"/>
  <sheetViews>
    <sheetView view="pageBreakPreview" zoomScaleNormal="100" zoomScaleSheetLayoutView="100" workbookViewId="0">
      <selection activeCell="L12" sqref="L12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Schlüssel!$BA$1</f>
        <v>16.02.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Schlüssel!$AQ$2</f>
        <v>Nürnberg West Bowling</v>
      </c>
      <c r="F2" s="77"/>
      <c r="G2" s="77"/>
      <c r="H2" s="77"/>
      <c r="I2" s="77"/>
      <c r="K2" s="77"/>
      <c r="L2" s="29" t="s">
        <v>1784</v>
      </c>
      <c r="M2" s="34">
        <v>3</v>
      </c>
      <c r="N2" s="28"/>
      <c r="AC2" s="91">
        <v>11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VLOOKUP(B2,Schlüssel!$A$5:$DZ$10,53)</f>
        <v>11</v>
      </c>
      <c r="F4" s="47" t="s">
        <v>10</v>
      </c>
      <c r="G4" s="7">
        <f>VLOOKUP(B2,Schlüssel!$A$5:$DZ$10,54)</f>
        <v>13</v>
      </c>
      <c r="H4" s="47" t="s">
        <v>10</v>
      </c>
      <c r="I4" s="7">
        <f>VLOOKUP(B2,Schlüssel!$A$5:$DZ$10,55)</f>
        <v>15</v>
      </c>
      <c r="J4" s="47" t="s">
        <v>10</v>
      </c>
      <c r="K4" s="7">
        <f>VLOOKUP(B2,Schlüssel!$A$5:$DZ$10,56)</f>
        <v>14</v>
      </c>
      <c r="L4" s="47" t="s">
        <v>10</v>
      </c>
      <c r="M4" s="67">
        <f>VLOOKUP(B2,Schlüssel!$A$5:$DZ$10,57)</f>
        <v>12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VLOOKUP(B2,Schlüssel!$A$5:$DZ$10,43)</f>
        <v>4</v>
      </c>
      <c r="E22" s="350"/>
      <c r="F22" s="350">
        <f>VLOOKUP(B2,Schlüssel!$A$5:$DZ$10,44)</f>
        <v>6</v>
      </c>
      <c r="G22" s="350"/>
      <c r="H22" s="350">
        <f>VLOOKUP(B2,Schlüssel!$A$5:$DZ$10,45)</f>
        <v>2</v>
      </c>
      <c r="I22" s="350"/>
      <c r="J22" s="350">
        <f>VLOOKUP(B2,Schlüssel!$A$5:$DZ$10,46)</f>
        <v>5</v>
      </c>
      <c r="K22" s="350"/>
      <c r="L22" s="350">
        <f>VLOOKUP(B2,Schlüssel!$A$5:$DZ$10,47)</f>
        <v>3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Kings Club Bayreuth Land 3</v>
      </c>
      <c r="E23" s="348"/>
      <c r="F23" s="347" t="str">
        <f>VLOOKUP(F22,Schlüssel!$A$5:$K$10,2)</f>
        <v>Adler Nürnberg 1</v>
      </c>
      <c r="G23" s="348"/>
      <c r="H23" s="347" t="str">
        <f>VLOOKUP(H22,Schlüssel!$A$5:$K$10,2)</f>
        <v>Herzogenaurach 1</v>
      </c>
      <c r="I23" s="348"/>
      <c r="J23" s="347" t="str">
        <f>VLOOKUP(J22,Schlüssel!$A$5:$K$10,2)</f>
        <v>Castra Regina Regensburg 2</v>
      </c>
      <c r="K23" s="348"/>
      <c r="L23" s="347" t="str">
        <f>VLOOKUP(L22,Schlüssel!$A$5:$K$10,2)</f>
        <v>Kings Club Bayreuth Land 2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Schlüssel!$BA$1</f>
        <v>16.02.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Schlüssel!$AQ$2</f>
        <v>Nürnberg West Bowling</v>
      </c>
      <c r="F31" s="77"/>
      <c r="G31" s="77"/>
      <c r="H31" s="77"/>
      <c r="I31" s="77"/>
      <c r="K31" s="77"/>
      <c r="L31" s="29" t="s">
        <v>1784</v>
      </c>
      <c r="M31" s="34">
        <v>3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VLOOKUP(B31,Schlüssel!$A$5:$DZ$10,53)</f>
        <v>15</v>
      </c>
      <c r="F33" s="47" t="s">
        <v>10</v>
      </c>
      <c r="G33" s="7">
        <f>VLOOKUP(B31,Schlüssel!$A$5:$DZ$10,54)</f>
        <v>12</v>
      </c>
      <c r="H33" s="47" t="s">
        <v>10</v>
      </c>
      <c r="I33" s="7">
        <f>VLOOKUP(B31,Schlüssel!$A$5:$DZ$10,55)</f>
        <v>16</v>
      </c>
      <c r="J33" s="47" t="s">
        <v>10</v>
      </c>
      <c r="K33" s="7">
        <f>VLOOKUP(B31,Schlüssel!$A$5:$DZ$10,56)</f>
        <v>11</v>
      </c>
      <c r="L33" s="47" t="s">
        <v>10</v>
      </c>
      <c r="M33" s="67">
        <f>VLOOKUP(B31,Schlüssel!$A$5:$DZ$10,57)</f>
        <v>15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VLOOKUP(B31,Schlüssel!$A$5:$DZ$10,43)</f>
        <v>6</v>
      </c>
      <c r="E51" s="350"/>
      <c r="F51" s="350">
        <f>VLOOKUP(B31,Schlüssel!$A$5:$DZ$10,44)</f>
        <v>3</v>
      </c>
      <c r="G51" s="350"/>
      <c r="H51" s="350">
        <f>VLOOKUP(B31,Schlüssel!$A$5:$DZ$10,45)</f>
        <v>1</v>
      </c>
      <c r="I51" s="350"/>
      <c r="J51" s="350">
        <f>VLOOKUP(B31,Schlüssel!$A$5:$DZ$10,46)</f>
        <v>4</v>
      </c>
      <c r="K51" s="350"/>
      <c r="L51" s="350">
        <f>VLOOKUP(B31,Schlüssel!$A$5:$DZ$10,47)</f>
        <v>5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Adler Nürnberg 1</v>
      </c>
      <c r="E52" s="348"/>
      <c r="F52" s="347" t="str">
        <f>VLOOKUP(F51,Schlüssel!$A$5:$K$10,2)</f>
        <v>Kings Club Bayreuth Land 2</v>
      </c>
      <c r="G52" s="348"/>
      <c r="H52" s="347" t="str">
        <f>VLOOKUP(H51,Schlüssel!$A$5:$K$10,2)</f>
        <v>Castra Regina Regensburg 3</v>
      </c>
      <c r="I52" s="348"/>
      <c r="J52" s="347" t="str">
        <f>VLOOKUP(J51,Schlüssel!$A$5:$K$10,2)</f>
        <v>Kings Club Bayreuth Land 3</v>
      </c>
      <c r="K52" s="348"/>
      <c r="L52" s="347" t="str">
        <f>VLOOKUP(L51,Schlüssel!$A$5:$K$10,2)</f>
        <v>Castra Regina Regensburg 2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Schlüssel!$BA$1</f>
        <v>16.02.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Schlüssel!$AQ$2</f>
        <v>Nürnberg West Bowling</v>
      </c>
      <c r="F60" s="77"/>
      <c r="G60" s="77"/>
      <c r="H60" s="77"/>
      <c r="I60" s="77"/>
      <c r="K60" s="77"/>
      <c r="L60" s="29" t="s">
        <v>1784</v>
      </c>
      <c r="M60" s="34">
        <v>3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VLOOKUP(B60,Schlüssel!$A$5:$DZ$10,53)</f>
        <v>14</v>
      </c>
      <c r="F62" s="47" t="s">
        <v>10</v>
      </c>
      <c r="G62" s="7">
        <f>VLOOKUP(B60,Schlüssel!$A$5:$DZ$10,54)</f>
        <v>11</v>
      </c>
      <c r="H62" s="47" t="s">
        <v>10</v>
      </c>
      <c r="I62" s="7">
        <f>VLOOKUP(B60,Schlüssel!$A$5:$DZ$10,55)</f>
        <v>13</v>
      </c>
      <c r="J62" s="47" t="s">
        <v>10</v>
      </c>
      <c r="K62" s="7">
        <f>VLOOKUP(B60,Schlüssel!$A$5:$DZ$10,56)</f>
        <v>16</v>
      </c>
      <c r="L62" s="47" t="s">
        <v>10</v>
      </c>
      <c r="M62" s="67">
        <f>VLOOKUP(B60,Schlüssel!$A$5:$DZ$10,57)</f>
        <v>11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VLOOKUP(B60,Schlüssel!$A$5:$DZ$10,43)</f>
        <v>5</v>
      </c>
      <c r="E80" s="350"/>
      <c r="F80" s="350">
        <f>VLOOKUP(B60,Schlüssel!$A$5:$DZ$10,44)</f>
        <v>2</v>
      </c>
      <c r="G80" s="350"/>
      <c r="H80" s="350">
        <f>VLOOKUP(B60,Schlüssel!$A$5:$DZ$10,45)</f>
        <v>4</v>
      </c>
      <c r="I80" s="350"/>
      <c r="J80" s="350">
        <f>VLOOKUP(B60,Schlüssel!$A$5:$DZ$10,46)</f>
        <v>6</v>
      </c>
      <c r="K80" s="350"/>
      <c r="L80" s="350">
        <f>VLOOKUP(B60,Schlüssel!$A$5:$DZ$10,47)</f>
        <v>1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Castra Regina Regensburg 2</v>
      </c>
      <c r="E81" s="348"/>
      <c r="F81" s="347" t="str">
        <f>VLOOKUP(F80,Schlüssel!$A$5:$K$10,2)</f>
        <v>Herzogenaurach 1</v>
      </c>
      <c r="G81" s="348"/>
      <c r="H81" s="347" t="str">
        <f>VLOOKUP(H80,Schlüssel!$A$5:$K$10,2)</f>
        <v>Kings Club Bayreuth Land 3</v>
      </c>
      <c r="I81" s="348"/>
      <c r="J81" s="347" t="str">
        <f>VLOOKUP(J80,Schlüssel!$A$5:$K$10,2)</f>
        <v>Adler Nürnberg 1</v>
      </c>
      <c r="K81" s="348"/>
      <c r="L81" s="347" t="str">
        <f>VLOOKUP(L80,Schlüssel!$A$5:$K$10,2)</f>
        <v>Castra Regina Regensburg 3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Schlüssel!$BA$1</f>
        <v>16.02.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Schlüssel!$AQ$2</f>
        <v>Nürnberg West Bowling</v>
      </c>
      <c r="F89" s="77"/>
      <c r="G89" s="77"/>
      <c r="H89" s="77"/>
      <c r="I89" s="77"/>
      <c r="K89" s="77"/>
      <c r="L89" s="29" t="s">
        <v>1784</v>
      </c>
      <c r="M89" s="34">
        <v>3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VLOOKUP(B89,Schlüssel!$A$5:$DZ$10,53)</f>
        <v>12</v>
      </c>
      <c r="F91" s="47" t="s">
        <v>10</v>
      </c>
      <c r="G91" s="7">
        <f>VLOOKUP(B89,Schlüssel!$A$5:$DZ$10,54)</f>
        <v>15</v>
      </c>
      <c r="H91" s="47" t="s">
        <v>10</v>
      </c>
      <c r="I91" s="7">
        <f>VLOOKUP(B89,Schlüssel!$A$5:$DZ$10,55)</f>
        <v>14</v>
      </c>
      <c r="J91" s="47" t="s">
        <v>10</v>
      </c>
      <c r="K91" s="7">
        <f>VLOOKUP(B89,Schlüssel!$A$5:$DZ$10,56)</f>
        <v>12</v>
      </c>
      <c r="L91" s="47" t="s">
        <v>10</v>
      </c>
      <c r="M91" s="67">
        <f>VLOOKUP(B89,Schlüssel!$A$5:$DZ$10,57)</f>
        <v>13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VLOOKUP(B89,Schlüssel!$A$5:$DZ$10,43)</f>
        <v>1</v>
      </c>
      <c r="E109" s="350"/>
      <c r="F109" s="350">
        <f>VLOOKUP(B89,Schlüssel!$A$5:$DZ$10,44)</f>
        <v>5</v>
      </c>
      <c r="G109" s="350"/>
      <c r="H109" s="350">
        <f>VLOOKUP(B89,Schlüssel!$A$5:$DZ$10,45)</f>
        <v>3</v>
      </c>
      <c r="I109" s="350"/>
      <c r="J109" s="350">
        <f>VLOOKUP(B89,Schlüssel!$A$5:$DZ$10,46)</f>
        <v>2</v>
      </c>
      <c r="K109" s="350"/>
      <c r="L109" s="350">
        <f>VLOOKUP(B89,Schlüssel!$A$5:$DZ$10,47)</f>
        <v>6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Castra Regina Regensburg 3</v>
      </c>
      <c r="E110" s="348"/>
      <c r="F110" s="347" t="str">
        <f>VLOOKUP(F109,Schlüssel!$A$5:$K$10,2)</f>
        <v>Castra Regina Regensburg 2</v>
      </c>
      <c r="G110" s="348"/>
      <c r="H110" s="347" t="str">
        <f>VLOOKUP(H109,Schlüssel!$A$5:$K$10,2)</f>
        <v>Kings Club Bayreuth Land 2</v>
      </c>
      <c r="I110" s="348"/>
      <c r="J110" s="347" t="str">
        <f>VLOOKUP(J109,Schlüssel!$A$5:$K$10,2)</f>
        <v>Herzogenaurach 1</v>
      </c>
      <c r="K110" s="348"/>
      <c r="L110" s="347" t="str">
        <f>VLOOKUP(L109,Schlüssel!$A$5:$K$10,2)</f>
        <v>Adler Nürnberg 1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Schlüssel!$BA$1</f>
        <v>16.02.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Schlüssel!$AQ$2</f>
        <v>Nürnberg West Bowling</v>
      </c>
      <c r="F118" s="77"/>
      <c r="G118" s="77"/>
      <c r="H118" s="77"/>
      <c r="I118" s="77"/>
      <c r="K118" s="77"/>
      <c r="L118" s="29" t="s">
        <v>1784</v>
      </c>
      <c r="M118" s="34">
        <v>3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VLOOKUP(B118,Schlüssel!$A$5:$DZ$10,53)</f>
        <v>13</v>
      </c>
      <c r="F120" s="47" t="s">
        <v>10</v>
      </c>
      <c r="G120" s="7">
        <f>VLOOKUP(B118,Schlüssel!$A$5:$DZ$10,54)</f>
        <v>16</v>
      </c>
      <c r="H120" s="47" t="s">
        <v>10</v>
      </c>
      <c r="I120" s="7">
        <f>VLOOKUP(B118,Schlüssel!$A$5:$DZ$10,55)</f>
        <v>11</v>
      </c>
      <c r="J120" s="47" t="s">
        <v>10</v>
      </c>
      <c r="K120" s="7">
        <f>VLOOKUP(B118,Schlüssel!$A$5:$DZ$10,56)</f>
        <v>13</v>
      </c>
      <c r="L120" s="47" t="s">
        <v>10</v>
      </c>
      <c r="M120" s="67">
        <f>VLOOKUP(B118,Schlüssel!$A$5:$DZ$10,57)</f>
        <v>16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VLOOKUP(B118,Schlüssel!$A$5:$DZ$10,43)</f>
        <v>3</v>
      </c>
      <c r="E138" s="350"/>
      <c r="F138" s="350">
        <f>VLOOKUP(B118,Schlüssel!$A$5:$DZ$10,44)</f>
        <v>4</v>
      </c>
      <c r="G138" s="350"/>
      <c r="H138" s="350">
        <f>VLOOKUP(B118,Schlüssel!$A$5:$DZ$10,45)</f>
        <v>6</v>
      </c>
      <c r="I138" s="350"/>
      <c r="J138" s="350">
        <f>VLOOKUP(B118,Schlüssel!$A$5:$DZ$10,46)</f>
        <v>1</v>
      </c>
      <c r="K138" s="350"/>
      <c r="L138" s="350">
        <f>VLOOKUP(B118,Schlüssel!$A$5:$DZ$10,47)</f>
        <v>2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Kings Club Bayreuth Land 2</v>
      </c>
      <c r="E139" s="348"/>
      <c r="F139" s="347" t="str">
        <f>VLOOKUP(F138,Schlüssel!$A$5:$K$10,2)</f>
        <v>Kings Club Bayreuth Land 3</v>
      </c>
      <c r="G139" s="348"/>
      <c r="H139" s="347" t="str">
        <f>VLOOKUP(H138,Schlüssel!$A$5:$K$10,2)</f>
        <v>Adler Nürnberg 1</v>
      </c>
      <c r="I139" s="348"/>
      <c r="J139" s="347" t="str">
        <f>VLOOKUP(J138,Schlüssel!$A$5:$K$10,2)</f>
        <v>Castra Regina Regensburg 3</v>
      </c>
      <c r="K139" s="348"/>
      <c r="L139" s="347" t="str">
        <f>VLOOKUP(L138,Schlüssel!$A$5:$K$10,2)</f>
        <v>Herzogenaurach 1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Schlüssel!$BA$1</f>
        <v>16.02.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Schlüssel!$AQ$2</f>
        <v>Nürnberg West Bowling</v>
      </c>
      <c r="F147" s="77"/>
      <c r="G147" s="77"/>
      <c r="H147" s="77"/>
      <c r="I147" s="77"/>
      <c r="K147" s="77"/>
      <c r="L147" s="29" t="s">
        <v>1784</v>
      </c>
      <c r="M147" s="34">
        <v>3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VLOOKUP(B147,Schlüssel!$A$5:$DZ$10,53)</f>
        <v>16</v>
      </c>
      <c r="F149" s="47" t="s">
        <v>10</v>
      </c>
      <c r="G149" s="7">
        <f>VLOOKUP(B147,Schlüssel!$A$5:$DZ$10,54)</f>
        <v>14</v>
      </c>
      <c r="H149" s="47" t="s">
        <v>10</v>
      </c>
      <c r="I149" s="7">
        <f>VLOOKUP(B147,Schlüssel!$A$5:$DZ$10,55)</f>
        <v>12</v>
      </c>
      <c r="J149" s="47" t="s">
        <v>10</v>
      </c>
      <c r="K149" s="7">
        <f>VLOOKUP(B147,Schlüssel!$A$5:$DZ$10,56)</f>
        <v>15</v>
      </c>
      <c r="L149" s="47" t="s">
        <v>10</v>
      </c>
      <c r="M149" s="67">
        <f>VLOOKUP(B147,Schlüssel!$A$5:$DZ$10,57)</f>
        <v>14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VLOOKUP(B147,Schlüssel!$A$5:$DZ$10,43)</f>
        <v>2</v>
      </c>
      <c r="E167" s="350"/>
      <c r="F167" s="350">
        <f>VLOOKUP(B147,Schlüssel!$A$5:$DZ$10,44)</f>
        <v>1</v>
      </c>
      <c r="G167" s="350"/>
      <c r="H167" s="350">
        <f>VLOOKUP(B147,Schlüssel!$A$5:$DZ$10,45)</f>
        <v>5</v>
      </c>
      <c r="I167" s="350"/>
      <c r="J167" s="350">
        <f>VLOOKUP(B147,Schlüssel!$A$5:$DZ$10,46)</f>
        <v>3</v>
      </c>
      <c r="K167" s="350"/>
      <c r="L167" s="350">
        <f>VLOOKUP(B147,Schlüssel!$A$5:$DZ$10,47)</f>
        <v>4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Herzogenaurach 1</v>
      </c>
      <c r="E168" s="348"/>
      <c r="F168" s="347" t="str">
        <f>VLOOKUP(F167,Schlüssel!$A$5:$K$10,2)</f>
        <v>Castra Regina Regensburg 3</v>
      </c>
      <c r="G168" s="348"/>
      <c r="H168" s="347" t="str">
        <f>VLOOKUP(H167,Schlüssel!$A$5:$K$10,2)</f>
        <v>Castra Regina Regensburg 2</v>
      </c>
      <c r="I168" s="348"/>
      <c r="J168" s="347" t="str">
        <f>VLOOKUP(J167,Schlüssel!$A$5:$K$10,2)</f>
        <v>Kings Club Bayreuth Land 2</v>
      </c>
      <c r="K168" s="348"/>
      <c r="L168" s="347" t="str">
        <f>VLOOKUP(L167,Schlüssel!$A$5:$K$10,2)</f>
        <v>Kings Club Bayreuth Land 3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D19C" sheet="1"/>
  <mergeCells count="498">
    <mergeCell ref="L1:N1"/>
    <mergeCell ref="D5:E5"/>
    <mergeCell ref="F5:G5"/>
    <mergeCell ref="H5:I5"/>
    <mergeCell ref="J5:K5"/>
    <mergeCell ref="L5:M5"/>
    <mergeCell ref="N5:O5"/>
    <mergeCell ref="O7:O9"/>
    <mergeCell ref="A10:A12"/>
    <mergeCell ref="E10:E12"/>
    <mergeCell ref="G10:G12"/>
    <mergeCell ref="I10:I12"/>
    <mergeCell ref="K10:K12"/>
    <mergeCell ref="M10:M12"/>
    <mergeCell ref="O10:O12"/>
    <mergeCell ref="A7:A9"/>
    <mergeCell ref="E7:E9"/>
    <mergeCell ref="G7:G9"/>
    <mergeCell ref="I7:I9"/>
    <mergeCell ref="K7:K9"/>
    <mergeCell ref="M7:M9"/>
    <mergeCell ref="D22:E22"/>
    <mergeCell ref="F22:G22"/>
    <mergeCell ref="H22:I22"/>
    <mergeCell ref="J22:K22"/>
    <mergeCell ref="L22:M22"/>
    <mergeCell ref="N22:O22"/>
    <mergeCell ref="O13:O15"/>
    <mergeCell ref="A16:A18"/>
    <mergeCell ref="E16:E18"/>
    <mergeCell ref="G16:G18"/>
    <mergeCell ref="I16:I18"/>
    <mergeCell ref="K16:K18"/>
    <mergeCell ref="M16:M18"/>
    <mergeCell ref="O16:O18"/>
    <mergeCell ref="A13:A15"/>
    <mergeCell ref="E13:E15"/>
    <mergeCell ref="G13:G15"/>
    <mergeCell ref="I13:I15"/>
    <mergeCell ref="K13:K15"/>
    <mergeCell ref="M13:M15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D26:E26"/>
    <mergeCell ref="F26:G26"/>
    <mergeCell ref="H26:I26"/>
    <mergeCell ref="J26:K26"/>
    <mergeCell ref="L26:M26"/>
    <mergeCell ref="N26:O26"/>
    <mergeCell ref="D25:E25"/>
    <mergeCell ref="F25:G25"/>
    <mergeCell ref="H25:I25"/>
    <mergeCell ref="J25:K25"/>
    <mergeCell ref="L25:M25"/>
    <mergeCell ref="N25:O25"/>
    <mergeCell ref="D28:E28"/>
    <mergeCell ref="F28:G28"/>
    <mergeCell ref="H28:I28"/>
    <mergeCell ref="J28:K28"/>
    <mergeCell ref="L28:M28"/>
    <mergeCell ref="N28:O28"/>
    <mergeCell ref="D27:E27"/>
    <mergeCell ref="F27:G27"/>
    <mergeCell ref="H27:I27"/>
    <mergeCell ref="J27:K27"/>
    <mergeCell ref="L27:M27"/>
    <mergeCell ref="N27:O27"/>
    <mergeCell ref="L30:N30"/>
    <mergeCell ref="D34:E34"/>
    <mergeCell ref="F34:G34"/>
    <mergeCell ref="H34:I34"/>
    <mergeCell ref="J34:K34"/>
    <mergeCell ref="L34:M34"/>
    <mergeCell ref="N34:O34"/>
    <mergeCell ref="D29:E29"/>
    <mergeCell ref="F29:G29"/>
    <mergeCell ref="H29:I29"/>
    <mergeCell ref="J29:K29"/>
    <mergeCell ref="L29:M29"/>
    <mergeCell ref="N29:O29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ageMargins left="0.70866141732283472" right="0.70866141732283472" top="0.59055118110236227" bottom="0.59055118110236227" header="0.31496062992125984" footer="0.31496062992125984"/>
  <pageSetup paperSize="9" orientation="landscape" r:id="rId1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51B3D-E17D-4571-856D-192464BD32E7}">
  <sheetPr>
    <tabColor rgb="FF92D050"/>
  </sheetPr>
  <dimension ref="A1:CE180"/>
  <sheetViews>
    <sheetView view="pageBreakPreview" topLeftCell="R148" zoomScaleNormal="100" zoomScaleSheetLayoutView="100" workbookViewId="0">
      <selection activeCell="L12" sqref="L12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 t="str">
        <f>AD1</f>
        <v>16.02.</v>
      </c>
      <c r="N1" s="376"/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Schlüssel!$BA$1</f>
        <v>16.02.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Nürnberg West Bowling</v>
      </c>
      <c r="F2" s="77"/>
      <c r="G2" s="77"/>
      <c r="H2" s="77"/>
      <c r="I2" s="77"/>
      <c r="J2" s="77"/>
      <c r="K2" s="77" t="str">
        <f>AC2</f>
        <v>Spieltag:</v>
      </c>
      <c r="L2" s="29"/>
      <c r="M2" s="86">
        <f>AD2</f>
        <v>3</v>
      </c>
      <c r="N2" s="28"/>
      <c r="R2" s="49"/>
      <c r="S2" s="50">
        <v>1</v>
      </c>
      <c r="U2" s="30" t="s">
        <v>1786</v>
      </c>
      <c r="V2" s="84" t="str">
        <f>Schlüssel!$AQ$2</f>
        <v>Nürnberg West Bowling</v>
      </c>
      <c r="X2" s="77"/>
      <c r="Y2" s="77"/>
      <c r="Z2" s="77"/>
      <c r="AA2" s="77"/>
      <c r="AB2" s="77"/>
      <c r="AC2" s="29" t="s">
        <v>1784</v>
      </c>
      <c r="AD2" s="34">
        <v>3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VLOOKUP(S2,Schlüssel!$A$5:$DZ$10,53)</f>
        <v>11</v>
      </c>
      <c r="W4" s="193" t="s">
        <v>10</v>
      </c>
      <c r="X4" s="191">
        <f>VLOOKUP(S2,Schlüssel!$A$5:$DZ$10,54)</f>
        <v>13</v>
      </c>
      <c r="Y4" s="193" t="s">
        <v>10</v>
      </c>
      <c r="Z4" s="191">
        <f>VLOOKUP(S2,Schlüssel!$A$5:$DZ$10,55)</f>
        <v>15</v>
      </c>
      <c r="AA4" s="193" t="s">
        <v>10</v>
      </c>
      <c r="AB4" s="191">
        <f>VLOOKUP(S2,Schlüssel!$A$5:$DZ$10,56)</f>
        <v>14</v>
      </c>
      <c r="AC4" s="193" t="s">
        <v>10</v>
      </c>
      <c r="AD4" s="192">
        <f>VLOOKUP(S2,Schlüssel!$A$5:$DZ$10,57)</f>
        <v>12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>Aumeier, Bernhard</v>
      </c>
      <c r="C7" s="18">
        <f>IF(T7=0,"",T7)</f>
        <v>25130</v>
      </c>
      <c r="D7" s="14">
        <f>IF(U7=0,"",U7)</f>
        <v>152</v>
      </c>
      <c r="E7" s="352">
        <f>IF(V7="","",V7)</f>
        <v>0</v>
      </c>
      <c r="F7" s="14">
        <f t="shared" ref="F7:F20" si="0">IF(W7=0,"",W7)</f>
        <v>137</v>
      </c>
      <c r="G7" s="352">
        <f>IF(X7="","",X7)</f>
        <v>0</v>
      </c>
      <c r="H7" s="14" t="str">
        <f t="shared" ref="H7:H20" si="1">IF(Y7=0,"",Y7)</f>
        <v/>
      </c>
      <c r="I7" s="352">
        <f>IF(Z7="","",Z7)</f>
        <v>0</v>
      </c>
      <c r="J7" s="14" t="str">
        <f t="shared" ref="J7:J20" si="2">IF(AA7=0,"",AA7)</f>
        <v/>
      </c>
      <c r="K7" s="352">
        <f>IF(AB7="","",AB7)</f>
        <v>0</v>
      </c>
      <c r="L7" s="14" t="str">
        <f t="shared" ref="L7:L20" si="3">IF(AC7=0,"",AC7)</f>
        <v/>
      </c>
      <c r="M7" s="352">
        <f>IF(AD7="","",AD7)</f>
        <v>0</v>
      </c>
      <c r="N7" s="14">
        <f t="shared" ref="N7:N20" si="4">IF(AE7=0,"",AE7)</f>
        <v>289</v>
      </c>
      <c r="O7" s="352">
        <f>IF(AF7="","",AF7)</f>
        <v>0</v>
      </c>
      <c r="R7" s="355" t="s">
        <v>0</v>
      </c>
      <c r="S7" s="68" t="str">
        <f>IF(T7=0,"",VLOOKUP(T7,Starter!$A$1:$D$196,2,FALSE))</f>
        <v>Aumeier, Bernhard</v>
      </c>
      <c r="T7" s="175">
        <v>25130</v>
      </c>
      <c r="U7" s="183">
        <v>152</v>
      </c>
      <c r="V7" s="95">
        <f>IF(SUM(U7:U9)+U25=0,0,IF(ABS(SUM(U7:U9))=U25,0.5,IF(ABS(SUM(U7:U9))&gt;U25,1,0)))</f>
        <v>0</v>
      </c>
      <c r="W7" s="183">
        <v>137</v>
      </c>
      <c r="X7" s="95">
        <f>IF(SUM(W7:W9)+W25=0,0,IF(ABS(SUM(W7:W9))=W25,0.5,IF(ABS(SUM(W7:W9))&gt;W25,1,0)))</f>
        <v>0</v>
      </c>
      <c r="Y7" s="183"/>
      <c r="Z7" s="95">
        <f>IF(SUM(Y7:Y9)+Y25=0,0,IF(ABS(SUM(Y7:Y9))=Y25,0.5,IF(ABS(SUM(Y7:Y9))&gt;Y25,1,0)))</f>
        <v>0</v>
      </c>
      <c r="AA7" s="189"/>
      <c r="AB7" s="95">
        <f>IF(SUM(AA7:AA9)+AA25=0,0,IF(ABS(SUM(AA7:AA9))=AA25,0.5,IF(ABS(SUM(AA7:AA9))&gt;AA25,1,0)))</f>
        <v>0</v>
      </c>
      <c r="AC7" s="183"/>
      <c r="AD7" s="95">
        <f>IF(SUM(AC7:AC9)+AC25=0,0,IF(ABS(SUM(AC7:AC9))=AC25,0.5,IF(ABS(SUM(AC7:AC9))&gt;AC25,1,0)))</f>
        <v>0</v>
      </c>
      <c r="AE7" s="195">
        <f t="shared" ref="AE7:AE18" si="5">ABS(SUM(U7:U7))+ABS(SUM(W7:W7))+ABS(SUM(Y7:Y7))+ABS(SUM(AA7:AA7))+ABS(SUM(AC7:AC7))</f>
        <v>289</v>
      </c>
      <c r="AF7" s="180">
        <f>SUM(V7+X7+Z7+AB7+AD7)</f>
        <v>0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 t="shared" ref="BD7:BD18" si="6">T7</f>
        <v>25130</v>
      </c>
      <c r="BE7" s="213">
        <f t="shared" ref="BE7:BE18" si="7">AE7</f>
        <v>289</v>
      </c>
      <c r="BF7" s="215">
        <f t="shared" ref="BF7:BF18" si="8">COUNT(BH7:BL7)</f>
        <v>2</v>
      </c>
      <c r="BG7" s="215">
        <f t="shared" ref="BG7:BG18" si="9">COUNTIF(BH7:BL7,"&gt;0")</f>
        <v>2</v>
      </c>
      <c r="BH7" s="215">
        <f t="shared" ref="BH7:BH18" si="10">IF(U7=0,"",U7)</f>
        <v>152</v>
      </c>
      <c r="BI7" s="215">
        <f t="shared" ref="BI7:BI18" si="11">IF(W7=0,"",W7)</f>
        <v>137</v>
      </c>
      <c r="BJ7" s="215" t="str">
        <f t="shared" ref="BJ7:BJ18" si="12">IF(Y7=0,"",Y7)</f>
        <v/>
      </c>
      <c r="BK7" s="215" t="str">
        <f t="shared" ref="BK7:BK18" si="13">IF(AA7=0,"",AA7)</f>
        <v/>
      </c>
      <c r="BL7" s="215" t="str">
        <f t="shared" ref="BL7:BL18" si="14">IF(AC7=0,"",AC7)</f>
        <v/>
      </c>
      <c r="BM7" s="216"/>
      <c r="BN7" s="214"/>
      <c r="BO7" s="215">
        <f t="shared" ref="BO7:BO18" si="15">MAX(BH7:BL7)</f>
        <v>152</v>
      </c>
      <c r="BP7" s="215">
        <f t="shared" ref="BP7:BP18" si="16">IF(BO7&lt;MAX(BO:BO),0,BO7+ROW()/1000000000)</f>
        <v>0</v>
      </c>
      <c r="BQ7" s="215" t="str">
        <f>+S3</f>
        <v>Castra Regina Regensburg 3</v>
      </c>
      <c r="BR7" s="214">
        <f t="shared" ref="BR7:BR18" si="17">RANK(BP7,BP:BP)</f>
        <v>2</v>
      </c>
      <c r="BS7" s="215">
        <f t="shared" ref="BS7:BS18" si="18">SUMIF(BH7:BL7,"&gt;0")</f>
        <v>289</v>
      </c>
      <c r="BT7" s="215">
        <f>IF(COUNTIF(BH7:BL7,"&gt;0")&lt;Spielorte!$A$23,0,BE7/Spielorte!$A$23)</f>
        <v>0</v>
      </c>
      <c r="BU7" s="215">
        <f t="shared" ref="BU7:BU18" si="19">IF(BT7&lt;MAX(BT:BT),0,BT7+ROW()/1000000000)</f>
        <v>0</v>
      </c>
      <c r="BV7" s="214">
        <f t="shared" ref="BV7:BV18" si="20">IF(BU7=0,0,RANK(BU7,BU:BU))</f>
        <v>0</v>
      </c>
    </row>
    <row r="8" spans="1:74" ht="17.100000000000001" customHeight="1" x14ac:dyDescent="0.2">
      <c r="A8" s="374"/>
      <c r="B8" s="19" t="str">
        <f t="shared" ref="B8:D20" si="21">IF(S8=0,"",S8)</f>
        <v>Simon, Diana</v>
      </c>
      <c r="C8" s="20">
        <f t="shared" si="21"/>
        <v>38869</v>
      </c>
      <c r="D8" s="15" t="str">
        <f t="shared" si="21"/>
        <v/>
      </c>
      <c r="E8" s="353"/>
      <c r="F8" s="15" t="str">
        <f t="shared" si="0"/>
        <v/>
      </c>
      <c r="G8" s="353"/>
      <c r="H8" s="15">
        <f t="shared" si="1"/>
        <v>147</v>
      </c>
      <c r="I8" s="353"/>
      <c r="J8" s="15">
        <f t="shared" si="2"/>
        <v>146</v>
      </c>
      <c r="K8" s="353"/>
      <c r="L8" s="15">
        <f t="shared" si="3"/>
        <v>141</v>
      </c>
      <c r="M8" s="353"/>
      <c r="N8" s="15">
        <f t="shared" si="4"/>
        <v>434</v>
      </c>
      <c r="O8" s="353"/>
      <c r="R8" s="356"/>
      <c r="S8" s="68" t="str">
        <f>IF(T8=0,"",VLOOKUP(T8,Starter!$A$1:$D$196,2,FALSE))</f>
        <v>Simon, Diana</v>
      </c>
      <c r="T8" s="176">
        <v>38869</v>
      </c>
      <c r="U8" s="184"/>
      <c r="V8" s="96"/>
      <c r="W8" s="184"/>
      <c r="X8" s="96"/>
      <c r="Y8" s="184">
        <v>147</v>
      </c>
      <c r="Z8" s="96"/>
      <c r="AA8" s="184">
        <v>146</v>
      </c>
      <c r="AB8" s="96"/>
      <c r="AC8" s="184">
        <v>141</v>
      </c>
      <c r="AD8" s="96"/>
      <c r="AE8" s="196">
        <f t="shared" si="5"/>
        <v>434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si="6"/>
        <v>38869</v>
      </c>
      <c r="BE8" s="213">
        <f t="shared" si="7"/>
        <v>434</v>
      </c>
      <c r="BF8" s="215">
        <f t="shared" si="8"/>
        <v>3</v>
      </c>
      <c r="BG8" s="215">
        <f t="shared" si="9"/>
        <v>3</v>
      </c>
      <c r="BH8" s="215" t="str">
        <f t="shared" si="10"/>
        <v/>
      </c>
      <c r="BI8" s="215" t="str">
        <f t="shared" si="11"/>
        <v/>
      </c>
      <c r="BJ8" s="215">
        <f t="shared" si="12"/>
        <v>147</v>
      </c>
      <c r="BK8" s="215">
        <f t="shared" si="13"/>
        <v>146</v>
      </c>
      <c r="BL8" s="215">
        <f t="shared" si="14"/>
        <v>141</v>
      </c>
      <c r="BM8" s="216"/>
      <c r="BN8" s="214"/>
      <c r="BO8" s="215">
        <f t="shared" si="15"/>
        <v>147</v>
      </c>
      <c r="BP8" s="215">
        <f t="shared" si="16"/>
        <v>0</v>
      </c>
      <c r="BQ8" s="215" t="str">
        <f t="shared" ref="BQ8:BQ18" si="22">+BQ7</f>
        <v>Castra Regina Regensburg 3</v>
      </c>
      <c r="BR8" s="214">
        <f t="shared" si="17"/>
        <v>2</v>
      </c>
      <c r="BS8" s="215">
        <f t="shared" si="18"/>
        <v>434</v>
      </c>
      <c r="BT8" s="215">
        <f>IF(COUNTIF(BH8:BL8,"&gt;0")&lt;Spielorte!$A$23,0,BE8/Spielorte!$A$23)</f>
        <v>0</v>
      </c>
      <c r="BU8" s="215">
        <f t="shared" si="19"/>
        <v>0</v>
      </c>
      <c r="BV8" s="214">
        <f t="shared" si="20"/>
        <v>0</v>
      </c>
    </row>
    <row r="9" spans="1:74" ht="17.100000000000001" customHeight="1" thickBot="1" x14ac:dyDescent="0.25">
      <c r="A9" s="375"/>
      <c r="B9" s="21" t="str">
        <f t="shared" si="21"/>
        <v/>
      </c>
      <c r="C9" s="22" t="str">
        <f t="shared" si="21"/>
        <v/>
      </c>
      <c r="D9" s="9" t="str">
        <f t="shared" si="21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6"/>
        <v>0</v>
      </c>
      <c r="BE9" s="213">
        <f t="shared" si="7"/>
        <v>0</v>
      </c>
      <c r="BF9" s="215">
        <f t="shared" si="8"/>
        <v>0</v>
      </c>
      <c r="BG9" s="215">
        <f t="shared" si="9"/>
        <v>0</v>
      </c>
      <c r="BH9" s="215" t="str">
        <f t="shared" si="10"/>
        <v/>
      </c>
      <c r="BI9" s="215" t="str">
        <f t="shared" si="11"/>
        <v/>
      </c>
      <c r="BJ9" s="215" t="str">
        <f t="shared" si="12"/>
        <v/>
      </c>
      <c r="BK9" s="215" t="str">
        <f t="shared" si="13"/>
        <v/>
      </c>
      <c r="BL9" s="215" t="str">
        <f t="shared" si="14"/>
        <v/>
      </c>
      <c r="BM9" s="216"/>
      <c r="BN9" s="214"/>
      <c r="BO9" s="215">
        <f t="shared" si="15"/>
        <v>0</v>
      </c>
      <c r="BP9" s="215">
        <f t="shared" si="16"/>
        <v>0</v>
      </c>
      <c r="BQ9" s="215" t="str">
        <f t="shared" si="22"/>
        <v>Castra Regina Regensburg 3</v>
      </c>
      <c r="BR9" s="214">
        <f t="shared" si="17"/>
        <v>2</v>
      </c>
      <c r="BS9" s="215">
        <f t="shared" si="18"/>
        <v>0</v>
      </c>
      <c r="BT9" s="215">
        <f>IF(COUNTIF(BH9:BL9,"&gt;0")&lt;Spielorte!$A$23,0,BE9/Spielorte!$A$23)</f>
        <v>0</v>
      </c>
      <c r="BU9" s="215">
        <f t="shared" si="19"/>
        <v>0</v>
      </c>
      <c r="BV9" s="214">
        <f t="shared" si="20"/>
        <v>0</v>
      </c>
    </row>
    <row r="10" spans="1:74" ht="17.100000000000001" customHeight="1" x14ac:dyDescent="0.2">
      <c r="A10" s="373" t="s">
        <v>2</v>
      </c>
      <c r="B10" s="17" t="str">
        <f t="shared" si="21"/>
        <v>Bothe, Willi</v>
      </c>
      <c r="C10" s="18">
        <f t="shared" si="21"/>
        <v>38570</v>
      </c>
      <c r="D10" s="14">
        <f t="shared" si="21"/>
        <v>154</v>
      </c>
      <c r="E10" s="352">
        <f>IF(V10="","",V10)</f>
        <v>1</v>
      </c>
      <c r="F10" s="14">
        <f t="shared" si="0"/>
        <v>177</v>
      </c>
      <c r="G10" s="352">
        <f>IF(X10="","",X10)</f>
        <v>0</v>
      </c>
      <c r="H10" s="14">
        <f t="shared" si="1"/>
        <v>134</v>
      </c>
      <c r="I10" s="352">
        <f>IF(Z10="","",Z10)</f>
        <v>0</v>
      </c>
      <c r="J10" s="14">
        <f t="shared" si="2"/>
        <v>174</v>
      </c>
      <c r="K10" s="352">
        <f>IF(AB10="","",AB10)</f>
        <v>1</v>
      </c>
      <c r="L10" s="14">
        <f t="shared" si="3"/>
        <v>168</v>
      </c>
      <c r="M10" s="352">
        <f>IF(AD10="","",AD10)</f>
        <v>1</v>
      </c>
      <c r="N10" s="14">
        <f t="shared" si="4"/>
        <v>807</v>
      </c>
      <c r="O10" s="352">
        <f>IF(AF10="","",AF10)</f>
        <v>3</v>
      </c>
      <c r="R10" s="355" t="s">
        <v>2</v>
      </c>
      <c r="S10" s="68" t="str">
        <f>IF(T10=0,"",VLOOKUP(T10,Starter!$A$1:$D$196,2,FALSE))</f>
        <v>Bothe, Willi</v>
      </c>
      <c r="T10" s="178">
        <v>38570</v>
      </c>
      <c r="U10" s="186">
        <v>154</v>
      </c>
      <c r="V10" s="95">
        <f>IF(SUM(U10:U12)+U26=0,0,IF(ABS(SUM(U10:U12))=U26,0.5,IF(ABS(SUM(U10:U12))&gt;U26,1,0)))</f>
        <v>1</v>
      </c>
      <c r="W10" s="186">
        <v>177</v>
      </c>
      <c r="X10" s="95">
        <f>IF(SUM(W10:W12)+W26=0,0,IF(ABS(SUM(W10:W12))=W26,0.5,IF(ABS(SUM(W10:W12))&gt;W26,1,0)))</f>
        <v>0</v>
      </c>
      <c r="Y10" s="186">
        <v>134</v>
      </c>
      <c r="Z10" s="95">
        <f>IF(SUM(Y10:Y12)+Y26=0,0,IF(ABS(SUM(Y10:Y12))=Y26,0.5,IF(ABS(SUM(Y10:Y12))&gt;Y26,1,0)))</f>
        <v>0</v>
      </c>
      <c r="AA10" s="186">
        <v>174</v>
      </c>
      <c r="AB10" s="95">
        <f>IF(SUM(AA10:AA12)+AA26=0,0,IF(ABS(SUM(AA10:AA12))=AA26,0.5,IF(ABS(SUM(AA10:AA12))&gt;AA26,1,0)))</f>
        <v>1</v>
      </c>
      <c r="AC10" s="186">
        <v>168</v>
      </c>
      <c r="AD10" s="95">
        <f>IF(SUM(AC10:AC12)+AC26=0,0,IF(ABS(SUM(AC10:AC12))=AC26,0.5,IF(ABS(SUM(AC10:AC12))&gt;AC26,1,0)))</f>
        <v>1</v>
      </c>
      <c r="AE10" s="195">
        <f t="shared" si="5"/>
        <v>807</v>
      </c>
      <c r="AF10" s="180">
        <f>SUM(V10+X10+Z10+AB10+AD10)</f>
        <v>3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6"/>
        <v>38570</v>
      </c>
      <c r="BE10" s="213">
        <f t="shared" si="7"/>
        <v>807</v>
      </c>
      <c r="BF10" s="215">
        <f t="shared" si="8"/>
        <v>5</v>
      </c>
      <c r="BG10" s="215">
        <f t="shared" si="9"/>
        <v>5</v>
      </c>
      <c r="BH10" s="215">
        <f t="shared" si="10"/>
        <v>154</v>
      </c>
      <c r="BI10" s="215">
        <f t="shared" si="11"/>
        <v>177</v>
      </c>
      <c r="BJ10" s="215">
        <f t="shared" si="12"/>
        <v>134</v>
      </c>
      <c r="BK10" s="215">
        <f t="shared" si="13"/>
        <v>174</v>
      </c>
      <c r="BL10" s="215">
        <f t="shared" si="14"/>
        <v>168</v>
      </c>
      <c r="BM10" s="216"/>
      <c r="BN10" s="214"/>
      <c r="BO10" s="215">
        <f t="shared" si="15"/>
        <v>177</v>
      </c>
      <c r="BP10" s="215">
        <f t="shared" si="16"/>
        <v>0</v>
      </c>
      <c r="BQ10" s="215" t="str">
        <f t="shared" si="22"/>
        <v>Castra Regina Regensburg 3</v>
      </c>
      <c r="BR10" s="214">
        <f t="shared" si="17"/>
        <v>2</v>
      </c>
      <c r="BS10" s="215">
        <f t="shared" si="18"/>
        <v>807</v>
      </c>
      <c r="BT10" s="215">
        <f>IF(COUNTIF(BH10:BL10,"&gt;0")&lt;Spielorte!$A$23,0,BE10/Spielorte!$A$23)</f>
        <v>161.4</v>
      </c>
      <c r="BU10" s="215">
        <f t="shared" si="19"/>
        <v>0</v>
      </c>
      <c r="BV10" s="214">
        <f t="shared" si="20"/>
        <v>0</v>
      </c>
    </row>
    <row r="11" spans="1:74" ht="17.100000000000001" customHeight="1" x14ac:dyDescent="0.2">
      <c r="A11" s="374"/>
      <c r="B11" s="19" t="str">
        <f t="shared" si="21"/>
        <v/>
      </c>
      <c r="C11" s="20" t="str">
        <f t="shared" si="21"/>
        <v/>
      </c>
      <c r="D11" s="15" t="str">
        <f t="shared" si="21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 t="str">
        <f t="shared" si="2"/>
        <v/>
      </c>
      <c r="K11" s="353"/>
      <c r="L11" s="15" t="str">
        <f t="shared" si="3"/>
        <v/>
      </c>
      <c r="M11" s="353"/>
      <c r="N11" s="15" t="str">
        <f t="shared" si="4"/>
        <v/>
      </c>
      <c r="O11" s="353"/>
      <c r="R11" s="356"/>
      <c r="S11" s="68" t="str">
        <f>IF(T11=0,"",VLOOKUP(T11,Starter!$A$1:$D$196,2,FALSE))</f>
        <v/>
      </c>
      <c r="T11" s="176"/>
      <c r="U11" s="184"/>
      <c r="V11" s="96"/>
      <c r="W11" s="184"/>
      <c r="X11" s="96"/>
      <c r="Y11" s="184"/>
      <c r="Z11" s="96"/>
      <c r="AA11" s="184"/>
      <c r="AB11" s="96"/>
      <c r="AC11" s="184"/>
      <c r="AD11" s="96"/>
      <c r="AE11" s="196">
        <f t="shared" si="5"/>
        <v>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6"/>
        <v>0</v>
      </c>
      <c r="BE11" s="213">
        <f t="shared" si="7"/>
        <v>0</v>
      </c>
      <c r="BF11" s="215">
        <f t="shared" si="8"/>
        <v>0</v>
      </c>
      <c r="BG11" s="215">
        <f t="shared" si="9"/>
        <v>0</v>
      </c>
      <c r="BH11" s="215" t="str">
        <f t="shared" si="10"/>
        <v/>
      </c>
      <c r="BI11" s="215" t="str">
        <f t="shared" si="11"/>
        <v/>
      </c>
      <c r="BJ11" s="215" t="str">
        <f t="shared" si="12"/>
        <v/>
      </c>
      <c r="BK11" s="215" t="str">
        <f t="shared" si="13"/>
        <v/>
      </c>
      <c r="BL11" s="215" t="str">
        <f t="shared" si="14"/>
        <v/>
      </c>
      <c r="BM11" s="216"/>
      <c r="BN11" s="214"/>
      <c r="BO11" s="215">
        <f t="shared" si="15"/>
        <v>0</v>
      </c>
      <c r="BP11" s="215">
        <f t="shared" si="16"/>
        <v>0</v>
      </c>
      <c r="BQ11" s="215" t="str">
        <f t="shared" si="22"/>
        <v>Castra Regina Regensburg 3</v>
      </c>
      <c r="BR11" s="214">
        <f t="shared" si="17"/>
        <v>2</v>
      </c>
      <c r="BS11" s="215">
        <f t="shared" si="18"/>
        <v>0</v>
      </c>
      <c r="BT11" s="215">
        <f>IF(COUNTIF(BH11:BL11,"&gt;0")&lt;Spielorte!$A$23,0,BE11/Spielorte!$A$23)</f>
        <v>0</v>
      </c>
      <c r="BU11" s="215">
        <f t="shared" si="19"/>
        <v>0</v>
      </c>
      <c r="BV11" s="214">
        <f t="shared" si="20"/>
        <v>0</v>
      </c>
    </row>
    <row r="12" spans="1:74" ht="17.100000000000001" customHeight="1" thickBot="1" x14ac:dyDescent="0.25">
      <c r="A12" s="375"/>
      <c r="B12" s="21" t="str">
        <f t="shared" si="21"/>
        <v/>
      </c>
      <c r="C12" s="22" t="str">
        <f t="shared" si="21"/>
        <v/>
      </c>
      <c r="D12" s="9" t="str">
        <f t="shared" si="21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6"/>
        <v>0</v>
      </c>
      <c r="BE12" s="213">
        <f t="shared" si="7"/>
        <v>0</v>
      </c>
      <c r="BF12" s="215">
        <f t="shared" si="8"/>
        <v>0</v>
      </c>
      <c r="BG12" s="215">
        <f t="shared" si="9"/>
        <v>0</v>
      </c>
      <c r="BH12" s="215" t="str">
        <f t="shared" si="10"/>
        <v/>
      </c>
      <c r="BI12" s="215" t="str">
        <f t="shared" si="11"/>
        <v/>
      </c>
      <c r="BJ12" s="215" t="str">
        <f t="shared" si="12"/>
        <v/>
      </c>
      <c r="BK12" s="215" t="str">
        <f t="shared" si="13"/>
        <v/>
      </c>
      <c r="BL12" s="215" t="str">
        <f t="shared" si="14"/>
        <v/>
      </c>
      <c r="BM12" s="216"/>
      <c r="BN12" s="214"/>
      <c r="BO12" s="215">
        <f t="shared" si="15"/>
        <v>0</v>
      </c>
      <c r="BP12" s="215">
        <f t="shared" si="16"/>
        <v>0</v>
      </c>
      <c r="BQ12" s="215" t="str">
        <f t="shared" si="22"/>
        <v>Castra Regina Regensburg 3</v>
      </c>
      <c r="BR12" s="214">
        <f t="shared" si="17"/>
        <v>2</v>
      </c>
      <c r="BS12" s="215">
        <f t="shared" si="18"/>
        <v>0</v>
      </c>
      <c r="BT12" s="215">
        <f>IF(COUNTIF(BH12:BL12,"&gt;0")&lt;Spielorte!$A$23,0,BE12/Spielorte!$A$23)</f>
        <v>0</v>
      </c>
      <c r="BU12" s="215">
        <f t="shared" si="19"/>
        <v>0</v>
      </c>
      <c r="BV12" s="214">
        <f t="shared" si="20"/>
        <v>0</v>
      </c>
    </row>
    <row r="13" spans="1:74" ht="17.100000000000001" customHeight="1" x14ac:dyDescent="0.2">
      <c r="A13" s="373" t="s">
        <v>3</v>
      </c>
      <c r="B13" s="17" t="str">
        <f t="shared" si="21"/>
        <v>Stibel, Blasius</v>
      </c>
      <c r="C13" s="18">
        <f t="shared" si="21"/>
        <v>7849</v>
      </c>
      <c r="D13" s="14">
        <f t="shared" si="21"/>
        <v>193</v>
      </c>
      <c r="E13" s="352">
        <f>IF(V13="","",V13)</f>
        <v>1</v>
      </c>
      <c r="F13" s="14">
        <f t="shared" si="0"/>
        <v>194</v>
      </c>
      <c r="G13" s="352">
        <f>IF(X13="","",X13)</f>
        <v>0</v>
      </c>
      <c r="H13" s="14">
        <f t="shared" si="1"/>
        <v>192</v>
      </c>
      <c r="I13" s="352">
        <f>IF(Z13="","",Z13)</f>
        <v>1</v>
      </c>
      <c r="J13" s="14">
        <f t="shared" si="2"/>
        <v>162</v>
      </c>
      <c r="K13" s="352">
        <f>IF(AB13="","",AB13)</f>
        <v>1</v>
      </c>
      <c r="L13" s="14">
        <f t="shared" si="3"/>
        <v>208</v>
      </c>
      <c r="M13" s="352">
        <f>IF(AD13="","",AD13)</f>
        <v>1</v>
      </c>
      <c r="N13" s="14">
        <f t="shared" si="4"/>
        <v>949</v>
      </c>
      <c r="O13" s="352">
        <f>IF(AF13="","",AF13)</f>
        <v>4</v>
      </c>
      <c r="R13" s="355" t="s">
        <v>3</v>
      </c>
      <c r="S13" s="68" t="str">
        <f>IF(T13=0,"",VLOOKUP(T13,Starter!$A$1:$D$196,2,FALSE))</f>
        <v>Stibel, Blasius</v>
      </c>
      <c r="T13" s="178">
        <v>7849</v>
      </c>
      <c r="U13" s="186">
        <v>193</v>
      </c>
      <c r="V13" s="95">
        <f>IF(SUM(U13:U15)+U27=0,0,IF(ABS(SUM(U13:U15))=U27,0.5,IF(ABS(SUM(U13:U15))&gt;U27,1,0)))</f>
        <v>1</v>
      </c>
      <c r="W13" s="186">
        <v>194</v>
      </c>
      <c r="X13" s="95">
        <f>IF(SUM(W13:W15)+W27=0,0,IF(ABS(SUM(W13:W15))=W27,0.5,IF(ABS(SUM(W13:W15))&gt;W27,1,0)))</f>
        <v>0</v>
      </c>
      <c r="Y13" s="186">
        <v>192</v>
      </c>
      <c r="Z13" s="95">
        <f>IF(SUM(Y13:Y15)+Y27=0,0,IF(ABS(SUM(Y13:Y15))=Y27,0.5,IF(ABS(SUM(Y13:Y15))&gt;Y27,1,0)))</f>
        <v>1</v>
      </c>
      <c r="AA13" s="186">
        <v>162</v>
      </c>
      <c r="AB13" s="95">
        <f>IF(SUM(AA13:AA15)+AA27=0,0,IF(ABS(SUM(AA13:AA15))=AA27,0.5,IF(ABS(SUM(AA13:AA15))&gt;AA27,1,0)))</f>
        <v>1</v>
      </c>
      <c r="AC13" s="186">
        <v>208</v>
      </c>
      <c r="AD13" s="95">
        <f>IF(SUM(AC13:AC15)+AC27=0,0,IF(ABS(SUM(AC13:AC15))=AC27,0.5,IF(ABS(SUM(AC13:AC15))&gt;AC27,1,0)))</f>
        <v>1</v>
      </c>
      <c r="AE13" s="195">
        <f t="shared" si="5"/>
        <v>949</v>
      </c>
      <c r="AF13" s="180">
        <f>SUM(V13+X13+Z13+AB13+AD13)</f>
        <v>4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6"/>
        <v>7849</v>
      </c>
      <c r="BE13" s="213">
        <f t="shared" si="7"/>
        <v>949</v>
      </c>
      <c r="BF13" s="215">
        <f t="shared" si="8"/>
        <v>5</v>
      </c>
      <c r="BG13" s="215">
        <f t="shared" si="9"/>
        <v>5</v>
      </c>
      <c r="BH13" s="215">
        <f t="shared" si="10"/>
        <v>193</v>
      </c>
      <c r="BI13" s="215">
        <f t="shared" si="11"/>
        <v>194</v>
      </c>
      <c r="BJ13" s="215">
        <f t="shared" si="12"/>
        <v>192</v>
      </c>
      <c r="BK13" s="215">
        <f t="shared" si="13"/>
        <v>162</v>
      </c>
      <c r="BL13" s="215">
        <f t="shared" si="14"/>
        <v>208</v>
      </c>
      <c r="BM13" s="216"/>
      <c r="BN13" s="214"/>
      <c r="BO13" s="215">
        <f t="shared" si="15"/>
        <v>208</v>
      </c>
      <c r="BP13" s="215">
        <f t="shared" si="16"/>
        <v>0</v>
      </c>
      <c r="BQ13" s="215" t="str">
        <f t="shared" si="22"/>
        <v>Castra Regina Regensburg 3</v>
      </c>
      <c r="BR13" s="214">
        <f t="shared" si="17"/>
        <v>2</v>
      </c>
      <c r="BS13" s="215">
        <f t="shared" si="18"/>
        <v>949</v>
      </c>
      <c r="BT13" s="215">
        <f>IF(COUNTIF(BH13:BL13,"&gt;0")&lt;Spielorte!$A$23,0,BE13/Spielorte!$A$23)</f>
        <v>189.8</v>
      </c>
      <c r="BU13" s="215">
        <f t="shared" si="19"/>
        <v>189.80000001300002</v>
      </c>
      <c r="BV13" s="214">
        <f t="shared" si="20"/>
        <v>2</v>
      </c>
    </row>
    <row r="14" spans="1:74" ht="17.100000000000001" customHeight="1" x14ac:dyDescent="0.2">
      <c r="A14" s="374"/>
      <c r="B14" s="19" t="str">
        <f t="shared" si="21"/>
        <v/>
      </c>
      <c r="C14" s="20" t="str">
        <f t="shared" si="21"/>
        <v/>
      </c>
      <c r="D14" s="15" t="str">
        <f t="shared" si="21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6"/>
        <v>0</v>
      </c>
      <c r="BE14" s="213">
        <f t="shared" si="7"/>
        <v>0</v>
      </c>
      <c r="BF14" s="215">
        <f t="shared" si="8"/>
        <v>0</v>
      </c>
      <c r="BG14" s="215">
        <f t="shared" si="9"/>
        <v>0</v>
      </c>
      <c r="BH14" s="215" t="str">
        <f t="shared" si="10"/>
        <v/>
      </c>
      <c r="BI14" s="215" t="str">
        <f t="shared" si="11"/>
        <v/>
      </c>
      <c r="BJ14" s="215" t="str">
        <f t="shared" si="12"/>
        <v/>
      </c>
      <c r="BK14" s="215" t="str">
        <f t="shared" si="13"/>
        <v/>
      </c>
      <c r="BL14" s="215" t="str">
        <f t="shared" si="14"/>
        <v/>
      </c>
      <c r="BM14" s="216"/>
      <c r="BN14" s="214"/>
      <c r="BO14" s="215">
        <f t="shared" si="15"/>
        <v>0</v>
      </c>
      <c r="BP14" s="215">
        <f t="shared" si="16"/>
        <v>0</v>
      </c>
      <c r="BQ14" s="215" t="str">
        <f t="shared" si="22"/>
        <v>Castra Regina Regensburg 3</v>
      </c>
      <c r="BR14" s="214">
        <f t="shared" si="17"/>
        <v>2</v>
      </c>
      <c r="BS14" s="215">
        <f t="shared" si="18"/>
        <v>0</v>
      </c>
      <c r="BT14" s="215">
        <f>IF(COUNTIF(BH14:BL14,"&gt;0")&lt;Spielorte!$A$23,0,BE14/Spielorte!$A$23)</f>
        <v>0</v>
      </c>
      <c r="BU14" s="215">
        <f t="shared" si="19"/>
        <v>0</v>
      </c>
      <c r="BV14" s="214">
        <f t="shared" si="20"/>
        <v>0</v>
      </c>
    </row>
    <row r="15" spans="1:74" ht="17.100000000000001" customHeight="1" thickBot="1" x14ac:dyDescent="0.25">
      <c r="A15" s="375"/>
      <c r="B15" s="21" t="str">
        <f t="shared" si="21"/>
        <v/>
      </c>
      <c r="C15" s="22" t="str">
        <f t="shared" si="21"/>
        <v/>
      </c>
      <c r="D15" s="9" t="str">
        <f t="shared" si="21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6"/>
        <v>0</v>
      </c>
      <c r="BE15" s="213">
        <f t="shared" si="7"/>
        <v>0</v>
      </c>
      <c r="BF15" s="215">
        <f t="shared" si="8"/>
        <v>0</v>
      </c>
      <c r="BG15" s="215">
        <f t="shared" si="9"/>
        <v>0</v>
      </c>
      <c r="BH15" s="215" t="str">
        <f t="shared" si="10"/>
        <v/>
      </c>
      <c r="BI15" s="215" t="str">
        <f t="shared" si="11"/>
        <v/>
      </c>
      <c r="BJ15" s="215" t="str">
        <f t="shared" si="12"/>
        <v/>
      </c>
      <c r="BK15" s="215" t="str">
        <f t="shared" si="13"/>
        <v/>
      </c>
      <c r="BL15" s="215" t="str">
        <f t="shared" si="14"/>
        <v/>
      </c>
      <c r="BM15" s="216"/>
      <c r="BN15" s="214"/>
      <c r="BO15" s="215">
        <f t="shared" si="15"/>
        <v>0</v>
      </c>
      <c r="BP15" s="215">
        <f t="shared" si="16"/>
        <v>0</v>
      </c>
      <c r="BQ15" s="215" t="str">
        <f t="shared" si="22"/>
        <v>Castra Regina Regensburg 3</v>
      </c>
      <c r="BR15" s="214">
        <f t="shared" si="17"/>
        <v>2</v>
      </c>
      <c r="BS15" s="215">
        <f t="shared" si="18"/>
        <v>0</v>
      </c>
      <c r="BT15" s="215">
        <f>IF(COUNTIF(BH15:BL15,"&gt;0")&lt;Spielorte!$A$23,0,BE15/Spielorte!$A$23)</f>
        <v>0</v>
      </c>
      <c r="BU15" s="215">
        <f t="shared" si="19"/>
        <v>0</v>
      </c>
      <c r="BV15" s="214">
        <f t="shared" si="20"/>
        <v>0</v>
      </c>
    </row>
    <row r="16" spans="1:74" ht="17.100000000000001" customHeight="1" x14ac:dyDescent="0.2">
      <c r="A16" s="373" t="s">
        <v>11</v>
      </c>
      <c r="B16" s="17" t="str">
        <f>IF(S16=0,"",S16)</f>
        <v>Walzer, Peter</v>
      </c>
      <c r="C16" s="18">
        <f t="shared" si="21"/>
        <v>7813</v>
      </c>
      <c r="D16" s="14">
        <f t="shared" si="21"/>
        <v>167</v>
      </c>
      <c r="E16" s="352">
        <f>IF(V16="","",V16)</f>
        <v>0</v>
      </c>
      <c r="F16" s="14">
        <f t="shared" si="0"/>
        <v>174</v>
      </c>
      <c r="G16" s="352">
        <f>IF(X16="","",X16)</f>
        <v>0</v>
      </c>
      <c r="H16" s="14">
        <f t="shared" si="1"/>
        <v>216</v>
      </c>
      <c r="I16" s="352">
        <f>IF(Z16="","",Z16)</f>
        <v>1</v>
      </c>
      <c r="J16" s="14">
        <f t="shared" si="2"/>
        <v>192</v>
      </c>
      <c r="K16" s="352">
        <f>IF(AB16="","",AB16)</f>
        <v>1</v>
      </c>
      <c r="L16" s="14">
        <f t="shared" si="3"/>
        <v>139</v>
      </c>
      <c r="M16" s="352">
        <f>IF(AD16="","",AD16)</f>
        <v>0</v>
      </c>
      <c r="N16" s="14">
        <f t="shared" si="4"/>
        <v>888</v>
      </c>
      <c r="O16" s="352">
        <f>IF(AF16="","",AF16)</f>
        <v>2</v>
      </c>
      <c r="R16" s="355" t="s">
        <v>11</v>
      </c>
      <c r="S16" s="68" t="str">
        <f>IF(T16=0,"",VLOOKUP(T16,Starter!$A$1:$D$196,2,FALSE))</f>
        <v>Walzer, Peter</v>
      </c>
      <c r="T16" s="178">
        <v>7813</v>
      </c>
      <c r="U16" s="186">
        <v>167</v>
      </c>
      <c r="V16" s="95">
        <f>IF(SUM(U16:U18)+U28=0,0,IF(ABS(SUM(U16:U18))=U28,0.5,IF(ABS(SUM(U16:U18))&gt;U28,1,0)))</f>
        <v>0</v>
      </c>
      <c r="W16" s="186">
        <v>174</v>
      </c>
      <c r="X16" s="95">
        <f>IF(SUM(W16:W18)+W28=0,0,IF(ABS(SUM(W16:W18))=W28,0.5,IF(ABS(SUM(W16:W18))&gt;W28,1,0)))</f>
        <v>0</v>
      </c>
      <c r="Y16" s="186">
        <v>216</v>
      </c>
      <c r="Z16" s="95">
        <f>IF(SUM(Y16:Y18)+Y28=0,0,IF(ABS(SUM(Y16:Y18))=Y28,0.5,IF(ABS(SUM(Y16:Y18))&gt;Y28,1,0)))</f>
        <v>1</v>
      </c>
      <c r="AA16" s="186">
        <v>192</v>
      </c>
      <c r="AB16" s="95">
        <f>IF(SUM(AA16:AA18)+AA28=0,0,IF(ABS(SUM(AA16:AA18))=AA28,0.5,IF(ABS(SUM(AA16:AA18))&gt;AA28,1,0)))</f>
        <v>1</v>
      </c>
      <c r="AC16" s="186">
        <v>139</v>
      </c>
      <c r="AD16" s="95">
        <f>IF(SUM(AC16:AC18)+AC28=0,0,IF(ABS(SUM(AC16:AC18))=AC28,0.5,IF(ABS(SUM(AC16:AC18))&gt;AC28,1,0)))</f>
        <v>0</v>
      </c>
      <c r="AE16" s="195">
        <f t="shared" si="5"/>
        <v>888</v>
      </c>
      <c r="AF16" s="180">
        <f>SUM(V16+X16+Z16+AB16+AD16)</f>
        <v>2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6"/>
        <v>7813</v>
      </c>
      <c r="BE16" s="213">
        <f t="shared" si="7"/>
        <v>888</v>
      </c>
      <c r="BF16" s="215">
        <f t="shared" si="8"/>
        <v>5</v>
      </c>
      <c r="BG16" s="215">
        <f t="shared" si="9"/>
        <v>5</v>
      </c>
      <c r="BH16" s="215">
        <f t="shared" si="10"/>
        <v>167</v>
      </c>
      <c r="BI16" s="215">
        <f t="shared" si="11"/>
        <v>174</v>
      </c>
      <c r="BJ16" s="215">
        <f t="shared" si="12"/>
        <v>216</v>
      </c>
      <c r="BK16" s="215">
        <f t="shared" si="13"/>
        <v>192</v>
      </c>
      <c r="BL16" s="215">
        <f t="shared" si="14"/>
        <v>139</v>
      </c>
      <c r="BM16" s="216"/>
      <c r="BN16" s="214"/>
      <c r="BO16" s="215">
        <f t="shared" si="15"/>
        <v>216</v>
      </c>
      <c r="BP16" s="215">
        <f t="shared" si="16"/>
        <v>0</v>
      </c>
      <c r="BQ16" s="215" t="str">
        <f t="shared" si="22"/>
        <v>Castra Regina Regensburg 3</v>
      </c>
      <c r="BR16" s="214">
        <f t="shared" si="17"/>
        <v>2</v>
      </c>
      <c r="BS16" s="215">
        <f t="shared" si="18"/>
        <v>888</v>
      </c>
      <c r="BT16" s="215">
        <f>IF(COUNTIF(BH16:BL16,"&gt;0")&lt;Spielorte!$A$23,0,BE16/Spielorte!$A$23)</f>
        <v>177.6</v>
      </c>
      <c r="BU16" s="215">
        <f t="shared" si="19"/>
        <v>0</v>
      </c>
      <c r="BV16" s="214">
        <f t="shared" si="20"/>
        <v>0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21"/>
        <v/>
      </c>
      <c r="D17" s="15" t="str">
        <f t="shared" si="21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6"/>
        <v>0</v>
      </c>
      <c r="BE17" s="213">
        <f t="shared" si="7"/>
        <v>0</v>
      </c>
      <c r="BF17" s="215">
        <f t="shared" si="8"/>
        <v>0</v>
      </c>
      <c r="BG17" s="215">
        <f t="shared" si="9"/>
        <v>0</v>
      </c>
      <c r="BH17" s="215" t="str">
        <f t="shared" si="10"/>
        <v/>
      </c>
      <c r="BI17" s="215" t="str">
        <f t="shared" si="11"/>
        <v/>
      </c>
      <c r="BJ17" s="215" t="str">
        <f t="shared" si="12"/>
        <v/>
      </c>
      <c r="BK17" s="215" t="str">
        <f t="shared" si="13"/>
        <v/>
      </c>
      <c r="BL17" s="215" t="str">
        <f t="shared" si="14"/>
        <v/>
      </c>
      <c r="BM17" s="216"/>
      <c r="BN17" s="214"/>
      <c r="BO17" s="215">
        <f t="shared" si="15"/>
        <v>0</v>
      </c>
      <c r="BP17" s="215">
        <f t="shared" si="16"/>
        <v>0</v>
      </c>
      <c r="BQ17" s="215" t="str">
        <f t="shared" si="22"/>
        <v>Castra Regina Regensburg 3</v>
      </c>
      <c r="BR17" s="214">
        <f t="shared" si="17"/>
        <v>2</v>
      </c>
      <c r="BS17" s="215">
        <f t="shared" si="18"/>
        <v>0</v>
      </c>
      <c r="BT17" s="215">
        <f>IF(COUNTIF(BH17:BL17,"&gt;0")&lt;Spielorte!$A$23,0,BE17/Spielorte!$A$23)</f>
        <v>0</v>
      </c>
      <c r="BU17" s="215">
        <f t="shared" si="19"/>
        <v>0</v>
      </c>
      <c r="BV17" s="214">
        <f t="shared" si="20"/>
        <v>0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21"/>
        <v/>
      </c>
      <c r="D18" s="9" t="str">
        <f t="shared" si="21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6"/>
        <v>0</v>
      </c>
      <c r="BE18" s="213">
        <f t="shared" si="7"/>
        <v>0</v>
      </c>
      <c r="BF18" s="215">
        <f t="shared" si="8"/>
        <v>0</v>
      </c>
      <c r="BG18" s="215">
        <f t="shared" si="9"/>
        <v>0</v>
      </c>
      <c r="BH18" s="215" t="str">
        <f t="shared" si="10"/>
        <v/>
      </c>
      <c r="BI18" s="215" t="str">
        <f t="shared" si="11"/>
        <v/>
      </c>
      <c r="BJ18" s="215" t="str">
        <f t="shared" si="12"/>
        <v/>
      </c>
      <c r="BK18" s="215" t="str">
        <f t="shared" si="13"/>
        <v/>
      </c>
      <c r="BL18" s="215" t="str">
        <f t="shared" si="14"/>
        <v/>
      </c>
      <c r="BM18" s="216"/>
      <c r="BN18" s="214"/>
      <c r="BO18" s="215">
        <f t="shared" si="15"/>
        <v>0</v>
      </c>
      <c r="BP18" s="215">
        <f t="shared" si="16"/>
        <v>0</v>
      </c>
      <c r="BQ18" s="215" t="str">
        <f t="shared" si="22"/>
        <v>Castra Regina Regensburg 3</v>
      </c>
      <c r="BR18" s="214">
        <f t="shared" si="17"/>
        <v>2</v>
      </c>
      <c r="BS18" s="215">
        <f t="shared" si="18"/>
        <v>0</v>
      </c>
      <c r="BT18" s="215">
        <f>IF(COUNTIF(BH18:BL18,"&gt;0")&lt;Spielorte!$A$23,0,BE18/Spielorte!$A$23)</f>
        <v>0</v>
      </c>
      <c r="BU18" s="215">
        <f t="shared" si="19"/>
        <v>0</v>
      </c>
      <c r="BV18" s="214">
        <f t="shared" si="20"/>
        <v>0</v>
      </c>
    </row>
    <row r="19" spans="1:74" ht="27.75" customHeight="1" thickBot="1" x14ac:dyDescent="0.25">
      <c r="B19" s="11" t="str">
        <f>IF(S19=0,"",S19)</f>
        <v>Gesamt</v>
      </c>
      <c r="C19" s="26" t="str">
        <f t="shared" si="21"/>
        <v/>
      </c>
      <c r="D19" s="16">
        <f t="shared" si="21"/>
        <v>666</v>
      </c>
      <c r="E19" s="12">
        <f>IF(V19="","",V19)</f>
        <v>2</v>
      </c>
      <c r="F19" s="16">
        <f t="shared" si="0"/>
        <v>682</v>
      </c>
      <c r="G19" s="12">
        <f>IF(X19="","",X19)</f>
        <v>0</v>
      </c>
      <c r="H19" s="16">
        <f t="shared" si="1"/>
        <v>689</v>
      </c>
      <c r="I19" s="12">
        <f>IF(Z19="","",Z19)</f>
        <v>0</v>
      </c>
      <c r="J19" s="16">
        <f t="shared" si="2"/>
        <v>674</v>
      </c>
      <c r="K19" s="12">
        <f>IF(AB19="","",AB19)</f>
        <v>2</v>
      </c>
      <c r="L19" s="16">
        <f t="shared" si="3"/>
        <v>656</v>
      </c>
      <c r="M19" s="12">
        <f>IF(AD19="","",AD19)</f>
        <v>2</v>
      </c>
      <c r="N19" s="16">
        <f t="shared" si="4"/>
        <v>3367</v>
      </c>
      <c r="O19" s="12">
        <f>IF(AF19="","",AF19)</f>
        <v>6</v>
      </c>
      <c r="S19" s="11" t="s">
        <v>1791</v>
      </c>
      <c r="T19" s="71"/>
      <c r="U19" s="188">
        <f>ABS(SUM(U7:U9))+ABS(SUM(U10:U12))+ABS(SUM(U13:U15))+ABS(SUM(U16:U18))</f>
        <v>666</v>
      </c>
      <c r="V19" s="98">
        <f>IF(U19+U29=0,0,IF(U19=U29,1,IF(U19&gt;U29,2,0)))</f>
        <v>2</v>
      </c>
      <c r="W19" s="188">
        <f>ABS(SUM(W7:W9))+ABS(SUM(W10:W12))+ABS(SUM(W13:W15))+ABS(SUM(W16:W18))</f>
        <v>682</v>
      </c>
      <c r="X19" s="98">
        <f>IF(W19+W29=0,0,IF(W19=W29,1,IF(W19&gt;W29,2,0)))</f>
        <v>0</v>
      </c>
      <c r="Y19" s="188">
        <f>ABS(SUM(Y7:Y9))+ABS(SUM(Y10:Y12))+ABS(SUM(Y13:Y15))+ABS(SUM(Y16:Y18))</f>
        <v>689</v>
      </c>
      <c r="Z19" s="98">
        <f>IF(Y19+Y29=0,0,IF(Y19=Y29,1,IF(Y19&gt;Y29,2,0)))</f>
        <v>0</v>
      </c>
      <c r="AA19" s="188">
        <f>ABS(SUM(AA7:AA9))+ABS(SUM(AA10:AA12))+ABS(SUM(AA13:AA15))+ABS(SUM(AA16:AA18))</f>
        <v>674</v>
      </c>
      <c r="AB19" s="98">
        <f>IF(AA19+AA29=0,0,IF(AA19=AA29,1,IF(AA19&gt;AA29,2,0)))</f>
        <v>2</v>
      </c>
      <c r="AC19" s="188">
        <f>ABS(SUM(AC7:AC9))+ABS(SUM(AC10:AC12))+ABS(SUM(AC13:AC15))+ABS(SUM(AC16:AC18))</f>
        <v>656</v>
      </c>
      <c r="AD19" s="98">
        <f>IF(AC19+AC29=0,0,IF(AC19=AC29,1,IF(AC19&gt;AC29,2,0)))</f>
        <v>2</v>
      </c>
      <c r="AE19" s="198">
        <f>SUM(U19+W19+Y19+AA19+AC19)</f>
        <v>3367</v>
      </c>
      <c r="AF19" s="12">
        <f>SUM(V19+X19+Z19+AB19+AD19)</f>
        <v>6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21"/>
        <v/>
      </c>
      <c r="D20" s="1" t="str">
        <f t="shared" si="21"/>
        <v/>
      </c>
      <c r="E20" s="23">
        <f>IF(V20="","",V20)</f>
        <v>4</v>
      </c>
      <c r="F20" s="1" t="str">
        <f t="shared" si="0"/>
        <v/>
      </c>
      <c r="G20" s="23">
        <f>IF(X20="","",X20)</f>
        <v>0</v>
      </c>
      <c r="H20" s="1" t="str">
        <f t="shared" si="1"/>
        <v/>
      </c>
      <c r="I20" s="23">
        <f>IF(Z20="","",Z20)</f>
        <v>2</v>
      </c>
      <c r="J20" s="1" t="str">
        <f t="shared" si="2"/>
        <v/>
      </c>
      <c r="K20" s="23">
        <f>IF(AB20="","",AB20)</f>
        <v>5</v>
      </c>
      <c r="L20" s="1" t="str">
        <f t="shared" si="3"/>
        <v/>
      </c>
      <c r="M20" s="23">
        <f>IF(AD20="","",AD20)</f>
        <v>4</v>
      </c>
      <c r="N20" s="1" t="str">
        <f t="shared" si="4"/>
        <v/>
      </c>
      <c r="O20" s="23">
        <f>IF(AF20="","",AF20)</f>
        <v>15</v>
      </c>
      <c r="S20" s="8" t="s">
        <v>1802</v>
      </c>
      <c r="T20" s="1"/>
      <c r="U20" s="1"/>
      <c r="V20" s="72">
        <f>SUM(V7:V19)</f>
        <v>4</v>
      </c>
      <c r="W20" s="1"/>
      <c r="X20" s="72">
        <f>SUM(X7:X19)</f>
        <v>0</v>
      </c>
      <c r="Y20" s="1"/>
      <c r="Z20" s="72">
        <f>SUM(Z7:Z19)</f>
        <v>2</v>
      </c>
      <c r="AA20" s="1"/>
      <c r="AB20" s="72">
        <f>SUM(AB7:AB19)</f>
        <v>5</v>
      </c>
      <c r="AC20" s="1"/>
      <c r="AD20" s="72">
        <f>SUM(AD7:AD19)</f>
        <v>4</v>
      </c>
      <c r="AE20" s="1"/>
      <c r="AF20" s="72">
        <f>SUM(AF7:AF19)</f>
        <v>15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15</v>
      </c>
      <c r="BB20" s="213">
        <f>AE19</f>
        <v>3367</v>
      </c>
      <c r="BC20" s="214">
        <f>+S2</f>
        <v>1</v>
      </c>
      <c r="BF20" s="215">
        <f>SUM(BF1:BF19)</f>
        <v>20</v>
      </c>
      <c r="BM20" s="212">
        <f>+BB20/1000000+BA20</f>
        <v>15.003367000000001</v>
      </c>
      <c r="BN20" s="214">
        <f>RANK(BM20,BM:BM)</f>
        <v>4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M22" si="23">IF(S22=0,"",S22)</f>
        <v>Gegner-Nr.:</v>
      </c>
      <c r="C22" s="5" t="str">
        <f t="shared" si="23"/>
        <v>&gt;&gt;&gt;&gt;</v>
      </c>
      <c r="D22" s="350">
        <f t="shared" si="23"/>
        <v>4</v>
      </c>
      <c r="E22" s="350" t="str">
        <f t="shared" si="23"/>
        <v/>
      </c>
      <c r="F22" s="350">
        <f t="shared" si="23"/>
        <v>6</v>
      </c>
      <c r="G22" s="350" t="str">
        <f t="shared" si="23"/>
        <v/>
      </c>
      <c r="H22" s="350">
        <f t="shared" si="23"/>
        <v>2</v>
      </c>
      <c r="I22" s="350" t="str">
        <f t="shared" si="23"/>
        <v/>
      </c>
      <c r="J22" s="350">
        <f t="shared" si="23"/>
        <v>5</v>
      </c>
      <c r="K22" s="350" t="str">
        <f t="shared" si="23"/>
        <v/>
      </c>
      <c r="L22" s="350">
        <f t="shared" si="23"/>
        <v>3</v>
      </c>
      <c r="M22" s="350" t="str">
        <f t="shared" si="23"/>
        <v/>
      </c>
      <c r="N22" s="351"/>
      <c r="O22" s="351"/>
      <c r="S22" s="13" t="s">
        <v>1789</v>
      </c>
      <c r="T22" s="5" t="s">
        <v>1790</v>
      </c>
      <c r="U22" s="369">
        <f>VLOOKUP($S2,Schlüssel!$A$5:$DG$10,43)</f>
        <v>4</v>
      </c>
      <c r="V22" s="370"/>
      <c r="W22" s="369">
        <f>VLOOKUP($S2,Schlüssel!$A$5:$EK$10,44)</f>
        <v>6</v>
      </c>
      <c r="X22" s="370"/>
      <c r="Y22" s="369">
        <f>VLOOKUP($S2,Schlüssel!$A$5:$EK$10,45)</f>
        <v>2</v>
      </c>
      <c r="Z22" s="370"/>
      <c r="AA22" s="369">
        <f>VLOOKUP($S2,Schlüssel!$A$5:$EK$10,46)</f>
        <v>5</v>
      </c>
      <c r="AB22" s="370"/>
      <c r="AC22" s="369">
        <f>VLOOKUP($S2,Schlüssel!$A$5:$EK$10,47)</f>
        <v>3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ref="B23:K24" si="24">IF(S23=0,"",S23)</f>
        <v/>
      </c>
      <c r="C23" s="1" t="str">
        <f t="shared" si="24"/>
        <v/>
      </c>
      <c r="D23" s="347" t="str">
        <f t="shared" si="24"/>
        <v>Kings Club Bayreuth Land 3</v>
      </c>
      <c r="E23" s="348" t="str">
        <f t="shared" si="24"/>
        <v/>
      </c>
      <c r="F23" s="347" t="str">
        <f t="shared" si="24"/>
        <v>Adler Nürnberg 1</v>
      </c>
      <c r="G23" s="348" t="str">
        <f t="shared" si="24"/>
        <v/>
      </c>
      <c r="H23" s="347" t="str">
        <f t="shared" si="24"/>
        <v>Herzogenaurach 1</v>
      </c>
      <c r="I23" s="348" t="str">
        <f t="shared" si="24"/>
        <v/>
      </c>
      <c r="J23" s="347" t="str">
        <f t="shared" si="24"/>
        <v>Castra Regina Regensburg 2</v>
      </c>
      <c r="K23" s="348" t="str">
        <f t="shared" si="24"/>
        <v/>
      </c>
      <c r="L23" s="347" t="str">
        <f>IF(AC23=0,"",AC23)</f>
        <v>Kings Club Bayreuth Land 2</v>
      </c>
      <c r="M23" s="348" t="str">
        <f>IF(AD23=0,"",AD23)</f>
        <v/>
      </c>
      <c r="N23" s="349"/>
      <c r="O23" s="349"/>
      <c r="S23" s="4"/>
      <c r="T23" s="1"/>
      <c r="U23" s="347" t="str">
        <f>VLOOKUP(U22,Schlüssel!$A$5:$K$10,2)</f>
        <v>Kings Club Bayreuth Land 3</v>
      </c>
      <c r="V23" s="348"/>
      <c r="W23" s="347" t="str">
        <f>VLOOKUP(W22,Schlüssel!$A$5:$K$10,2)</f>
        <v>Adler Nürnberg 1</v>
      </c>
      <c r="X23" s="348"/>
      <c r="Y23" s="347" t="str">
        <f>VLOOKUP(Y22,Schlüssel!$A$5:$K$10,2)</f>
        <v>Herzogenaurach 1</v>
      </c>
      <c r="Z23" s="348"/>
      <c r="AA23" s="347" t="str">
        <f>VLOOKUP(AA22,Schlüssel!$A$5:$K$10,2)</f>
        <v>Castra Regina Regensburg 2</v>
      </c>
      <c r="AB23" s="348"/>
      <c r="AC23" s="347" t="str">
        <f>VLOOKUP(AC22,Schlüssel!$A$5:$K$10,2)</f>
        <v>Kings Club Bayreuth Land 2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4"/>
        <v/>
      </c>
      <c r="C24" s="1" t="str">
        <f t="shared" si="24"/>
        <v/>
      </c>
      <c r="D24" s="346" t="str">
        <f t="shared" si="24"/>
        <v/>
      </c>
      <c r="E24" s="346" t="str">
        <f t="shared" si="24"/>
        <v/>
      </c>
      <c r="F24" s="346" t="str">
        <f t="shared" si="24"/>
        <v/>
      </c>
      <c r="G24" s="346" t="str">
        <f t="shared" si="24"/>
        <v/>
      </c>
      <c r="H24" s="346" t="str">
        <f t="shared" si="24"/>
        <v/>
      </c>
      <c r="I24" s="346" t="str">
        <f t="shared" si="24"/>
        <v/>
      </c>
      <c r="J24" s="346" t="str">
        <f t="shared" si="24"/>
        <v/>
      </c>
      <c r="K24" s="346" t="str">
        <f t="shared" si="24"/>
        <v/>
      </c>
      <c r="L24" s="346" t="str">
        <f>IF(AC24=0,"",AC24)</f>
        <v/>
      </c>
      <c r="M24" s="346" t="str">
        <f>IF(AD24=0,"",AD24)</f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184</v>
      </c>
      <c r="E25" s="344" t="str">
        <f>IF(V25=0,"",V25)</f>
        <v/>
      </c>
      <c r="F25" s="344">
        <f>IF(W25=301,"",W25)</f>
        <v>169</v>
      </c>
      <c r="G25" s="344" t="str">
        <f>IF(X25=0,"",X25)</f>
        <v/>
      </c>
      <c r="H25" s="344">
        <f>IF(Y25=301,"",Y25)</f>
        <v>165</v>
      </c>
      <c r="I25" s="344" t="str">
        <f>IF(Z25=0,"",Z25)</f>
        <v/>
      </c>
      <c r="J25" s="344">
        <f>IF(AA25=301,"",AA25)</f>
        <v>200</v>
      </c>
      <c r="K25" s="344" t="str">
        <f>IF(AB25=0,"",AB25)</f>
        <v/>
      </c>
      <c r="L25" s="344">
        <f>IF(AC25=301,"",AC25)</f>
        <v>145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184</v>
      </c>
      <c r="V25" s="368"/>
      <c r="W25" s="367">
        <f>ABS(INDEX(W:W,MATCH(W22,$S:$S,0)+5)+INDEX(W:W,MATCH(W22,$S:$S,0)+6)+INDEX(W:W,MATCH(W22,$S:$S,0)+7))</f>
        <v>169</v>
      </c>
      <c r="X25" s="368"/>
      <c r="Y25" s="367">
        <f>ABS(INDEX(Y:Y,MATCH(Y22,$S:$S,0)+5)+INDEX(Y:Y,MATCH(Y22,$S:$S,0)+6)+INDEX(Y:Y,MATCH(Y22,$S:$S,0)+7))</f>
        <v>165</v>
      </c>
      <c r="Z25" s="368"/>
      <c r="AA25" s="367">
        <f>ABS(INDEX(AA:AA,MATCH(AA22,$S:$S,0)+5)+INDEX(AA:AA,MATCH(AA22,$S:$S,0)+6)+INDEX(AA:AA,MATCH(AA22,$S:$S,0)+7))</f>
        <v>200</v>
      </c>
      <c r="AB25" s="368"/>
      <c r="AC25" s="367">
        <f>ABS(INDEX(AC:AC,MATCH(AC22,$S:$S,0)+5)+INDEX(AC:AC,MATCH(AC22,$S:$S,0)+6)+INDEX(AC:AC,MATCH(AC22,$S:$S,0)+7))</f>
        <v>145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151</v>
      </c>
      <c r="E26" s="344" t="str">
        <f>IF(V26=0,"",V26)</f>
        <v/>
      </c>
      <c r="F26" s="344">
        <f>IF(W26=301,"",W26)</f>
        <v>235</v>
      </c>
      <c r="G26" s="344" t="str">
        <f>IF(X26=0,"",X26)</f>
        <v/>
      </c>
      <c r="H26" s="344">
        <f>IF(Y26=301,"",Y26)</f>
        <v>193</v>
      </c>
      <c r="I26" s="344" t="str">
        <f>IF(Z26=0,"",Z26)</f>
        <v/>
      </c>
      <c r="J26" s="344">
        <f>IF(AA26=301,"",AA26)</f>
        <v>158</v>
      </c>
      <c r="K26" s="344" t="str">
        <f>IF(AB26=0,"",AB26)</f>
        <v/>
      </c>
      <c r="L26" s="344">
        <f>IF(AC26=301,"",AC26)</f>
        <v>149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151</v>
      </c>
      <c r="V26" s="366"/>
      <c r="W26" s="365">
        <f>ABS(INDEX(W:W,MATCH(W22,$S:$S,0)+8)+INDEX(W:W,MATCH(W22,$S:$S,0)+9)+INDEX(W:W,MATCH(W22,$S:$S,0)+10))</f>
        <v>235</v>
      </c>
      <c r="X26" s="366"/>
      <c r="Y26" s="365">
        <f>ABS(INDEX(Y:Y,MATCH(Y22,$S:$S,0)+8)+INDEX(Y:Y,MATCH(Y22,$S:$S,0)+9)+INDEX(Y:Y,MATCH(Y22,$S:$S,0)+10))</f>
        <v>193</v>
      </c>
      <c r="Z26" s="366"/>
      <c r="AA26" s="365">
        <f>ABS(INDEX(AA:AA,MATCH(AA22,$S:$S,0)+8)+INDEX(AA:AA,MATCH(AA22,$S:$S,0)+9)+INDEX(AA:AA,MATCH(AA22,$S:$S,0)+10))</f>
        <v>158</v>
      </c>
      <c r="AB26" s="366"/>
      <c r="AC26" s="365">
        <f>ABS(INDEX(AC:AC,MATCH(AC22,$S:$S,0)+8)+INDEX(AC:AC,MATCH(AC22,$S:$S,0)+9)+INDEX(AC:AC,MATCH(AC22,$S:$S,0)+10))</f>
        <v>149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155</v>
      </c>
      <c r="E27" s="344" t="str">
        <f>IF(V27=0,"",V27)</f>
        <v/>
      </c>
      <c r="F27" s="344">
        <f>IF(W27=301,"",W27)</f>
        <v>214</v>
      </c>
      <c r="G27" s="344" t="str">
        <f>IF(X27=0,"",X27)</f>
        <v/>
      </c>
      <c r="H27" s="344">
        <f>IF(Y27=301,"",Y27)</f>
        <v>178</v>
      </c>
      <c r="I27" s="344" t="str">
        <f>IF(Z27=0,"",Z27)</f>
        <v/>
      </c>
      <c r="J27" s="344">
        <f>IF(AA27=301,"",AA27)</f>
        <v>145</v>
      </c>
      <c r="K27" s="344" t="str">
        <f>IF(AB27=0,"",AB27)</f>
        <v/>
      </c>
      <c r="L27" s="344">
        <f>IF(AC27=301,"",AC27)</f>
        <v>176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155</v>
      </c>
      <c r="V27" s="366"/>
      <c r="W27" s="365">
        <f>ABS(INDEX(W:W,MATCH(W22,$S:$S,0)+11)+INDEX(W:W,MATCH(W22,$S:$S,0)+12)+INDEX(W:W,MATCH(W22,$S:$S,0)+13))</f>
        <v>214</v>
      </c>
      <c r="X27" s="366"/>
      <c r="Y27" s="365">
        <f>ABS(INDEX(Y:Y,MATCH(Y22,$S:$S,0)+11)+INDEX(Y:Y,MATCH(Y22,$S:$S,0)+12)+INDEX(Y:Y,MATCH(Y22,$S:$S,0)+13))</f>
        <v>178</v>
      </c>
      <c r="Z27" s="366"/>
      <c r="AA27" s="365">
        <f>ABS(INDEX(AA:AA,MATCH(AA22,$S:$S,0)+11)+INDEX(AA:AA,MATCH(AA22,$S:$S,0)+12)+INDEX(AA:AA,MATCH(AA22,$S:$S,0)+13))</f>
        <v>145</v>
      </c>
      <c r="AB27" s="366"/>
      <c r="AC27" s="365">
        <f>ABS(INDEX(AC:AC,MATCH(AC22,$S:$S,0)+11)+INDEX(AC:AC,MATCH(AC22,$S:$S,0)+12)+INDEX(AC:AC,MATCH(AC22,$S:$S,0)+13))</f>
        <v>176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175</v>
      </c>
      <c r="E28" s="344" t="str">
        <f>IF(V28=0,"",V28)</f>
        <v/>
      </c>
      <c r="F28" s="344">
        <f>IF(W28=301,"",W28)</f>
        <v>211</v>
      </c>
      <c r="G28" s="344" t="str">
        <f>IF(X28=0,"",X28)</f>
        <v/>
      </c>
      <c r="H28" s="344">
        <f>IF(Y28=301,"",Y28)</f>
        <v>172</v>
      </c>
      <c r="I28" s="344" t="str">
        <f>IF(Z28=0,"",Z28)</f>
        <v/>
      </c>
      <c r="J28" s="344">
        <f>IF(AA28=301,"",AA28)</f>
        <v>160</v>
      </c>
      <c r="K28" s="344" t="str">
        <f>IF(AB28=0,"",AB28)</f>
        <v/>
      </c>
      <c r="L28" s="344">
        <f>IF(AC28=301,"",AC28)</f>
        <v>160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175</v>
      </c>
      <c r="V28" s="366"/>
      <c r="W28" s="365">
        <f>ABS(INDEX(W:W,MATCH(W22,$S:$S,0)+14)+INDEX(W:W,MATCH(W22,$S:$S,0)+15)+INDEX(W:W,MATCH(W22,$S:$S,0)+16))</f>
        <v>211</v>
      </c>
      <c r="X28" s="366"/>
      <c r="Y28" s="365">
        <f>ABS(INDEX(Y:Y,MATCH(Y22,$S:$S,0)+14)+INDEX(Y:Y,MATCH(Y22,$S:$S,0)+15)+INDEX(Y:Y,MATCH(Y22,$S:$S,0)+16))</f>
        <v>172</v>
      </c>
      <c r="Z28" s="366"/>
      <c r="AA28" s="365">
        <f>ABS(INDEX(AA:AA,MATCH(AA22,$S:$S,0)+14)+INDEX(AA:AA,MATCH(AA22,$S:$S,0)+15)+INDEX(AA:AA,MATCH(AA22,$S:$S,0)+16))</f>
        <v>160</v>
      </c>
      <c r="AB28" s="366"/>
      <c r="AC28" s="365">
        <f>ABS(INDEX(AC:AC,MATCH(AC22,$S:$S,0)+14)+INDEX(AC:AC,MATCH(AC22,$S:$S,0)+15)+INDEX(AC:AC,MATCH(AC22,$S:$S,0)+16))</f>
        <v>160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665</v>
      </c>
      <c r="E29" s="343" t="str">
        <f>IF(V29=0,"",V29)</f>
        <v/>
      </c>
      <c r="F29" s="343">
        <f>IF(W29=1505,"",W29)</f>
        <v>829</v>
      </c>
      <c r="G29" s="343" t="str">
        <f>IF(X29=0,"",X29)</f>
        <v/>
      </c>
      <c r="H29" s="343">
        <f>IF(Y29=1505,"",Y29)</f>
        <v>708</v>
      </c>
      <c r="I29" s="343" t="str">
        <f>IF(Z29=0,"",Z29)</f>
        <v/>
      </c>
      <c r="J29" s="343">
        <f>IF(AA29=1505,"",AA29)</f>
        <v>663</v>
      </c>
      <c r="K29" s="343" t="str">
        <f>IF(AB29=0,"",AB29)</f>
        <v/>
      </c>
      <c r="L29" s="343">
        <f>IF(AC29=1505,"",AC29)</f>
        <v>630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665</v>
      </c>
      <c r="V29" s="360"/>
      <c r="W29" s="359">
        <f>SUM(W25:W28)</f>
        <v>829</v>
      </c>
      <c r="X29" s="360"/>
      <c r="Y29" s="359">
        <f>SUM(Y25:Y28)</f>
        <v>708</v>
      </c>
      <c r="Z29" s="360"/>
      <c r="AA29" s="359">
        <f>SUM(AA25:AA28)</f>
        <v>663</v>
      </c>
      <c r="AB29" s="360"/>
      <c r="AC29" s="359">
        <f>SUM(AC25:AC28)</f>
        <v>630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 t="str">
        <f>AD31</f>
        <v>16.02.</v>
      </c>
      <c r="N31" s="376"/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Schlüssel!$BA$1</f>
        <v>16.02.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Nürnberg West Bowling</v>
      </c>
      <c r="F32" s="77"/>
      <c r="G32" s="77"/>
      <c r="H32" s="77"/>
      <c r="I32" s="77"/>
      <c r="J32" s="77"/>
      <c r="K32" s="77" t="str">
        <f>AC32</f>
        <v>Spieltag:</v>
      </c>
      <c r="L32" s="29"/>
      <c r="M32" s="86">
        <f>AD32</f>
        <v>3</v>
      </c>
      <c r="N32" s="28"/>
      <c r="R32" s="49"/>
      <c r="S32" s="50">
        <v>2</v>
      </c>
      <c r="U32" s="30" t="s">
        <v>1786</v>
      </c>
      <c r="V32" s="84" t="str">
        <f>Schlüssel!$AQ$2</f>
        <v>Nürnberg West Bowling</v>
      </c>
      <c r="X32" s="77"/>
      <c r="Y32" s="77"/>
      <c r="Z32" s="77"/>
      <c r="AA32" s="77"/>
      <c r="AB32" s="77"/>
      <c r="AC32" s="29" t="s">
        <v>1784</v>
      </c>
      <c r="AD32" s="34">
        <v>3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VLOOKUP(S32,Schlüssel!$A$5:$DZ$10,53)</f>
        <v>15</v>
      </c>
      <c r="W34" s="193" t="s">
        <v>10</v>
      </c>
      <c r="X34" s="191">
        <f>VLOOKUP(S32,Schlüssel!$A$5:$DZ$10,54)</f>
        <v>12</v>
      </c>
      <c r="Y34" s="193" t="s">
        <v>10</v>
      </c>
      <c r="Z34" s="191">
        <f>VLOOKUP(S32,Schlüssel!$A$5:$DZ$10,55)</f>
        <v>16</v>
      </c>
      <c r="AA34" s="193" t="s">
        <v>10</v>
      </c>
      <c r="AB34" s="191">
        <f>VLOOKUP(S32,Schlüssel!$A$5:$DZ$10,56)</f>
        <v>11</v>
      </c>
      <c r="AC34" s="193" t="s">
        <v>10</v>
      </c>
      <c r="AD34" s="192">
        <f>VLOOKUP(S32,Schlüssel!$A$5:$DZ$10,57)</f>
        <v>15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>Voss, Horst</v>
      </c>
      <c r="C37" s="18">
        <f>IF(T37=0,"",T37)</f>
        <v>7282</v>
      </c>
      <c r="D37" s="14">
        <f>IF(U37=0,"",U37)</f>
        <v>194</v>
      </c>
      <c r="E37" s="352">
        <f>IF(V37="","",V37)</f>
        <v>0</v>
      </c>
      <c r="F37" s="14">
        <f t="shared" ref="F37:F50" si="26">IF(W37=0,"",W37)</f>
        <v>167</v>
      </c>
      <c r="G37" s="352">
        <f>IF(X37="","",X37)</f>
        <v>0</v>
      </c>
      <c r="H37" s="14">
        <f t="shared" ref="H37:H50" si="27">IF(Y37=0,"",Y37)</f>
        <v>165</v>
      </c>
      <c r="I37" s="352">
        <f>IF(Z37="","",Z37)</f>
        <v>1</v>
      </c>
      <c r="J37" s="14" t="str">
        <f t="shared" ref="J37:J50" si="28">IF(AA37=0,"",AA37)</f>
        <v/>
      </c>
      <c r="K37" s="352">
        <f>IF(AB37="","",AB37)</f>
        <v>1</v>
      </c>
      <c r="L37" s="14" t="str">
        <f t="shared" ref="L37:L50" si="29">IF(AC37=0,"",AC37)</f>
        <v/>
      </c>
      <c r="M37" s="352">
        <f>IF(AD37="","",AD37)</f>
        <v>0</v>
      </c>
      <c r="N37" s="14">
        <f t="shared" ref="N37:N50" si="30">IF(AE37=0,"",AE37)</f>
        <v>526</v>
      </c>
      <c r="O37" s="352">
        <f>IF(AF37="","",AF37)</f>
        <v>2</v>
      </c>
      <c r="R37" s="355" t="s">
        <v>0</v>
      </c>
      <c r="S37" s="68" t="str">
        <f>IF(T37=0,"",VLOOKUP(T37,Starter!$A$1:$D$196,2,FALSE))</f>
        <v>Voss, Horst</v>
      </c>
      <c r="T37" s="175">
        <v>7282</v>
      </c>
      <c r="U37" s="183">
        <v>194</v>
      </c>
      <c r="V37" s="95">
        <f>IF(SUM(U37:U39)+U55=0,0,IF(ABS(SUM(U37:U39))=U55,0.5,IF(ABS(SUM(U37:U39))&gt;U55,1,0)))</f>
        <v>0</v>
      </c>
      <c r="W37" s="183">
        <v>167</v>
      </c>
      <c r="X37" s="95">
        <f>IF(SUM(W37:W39)+W55=0,0,IF(ABS(SUM(W37:W39))=W55,0.5,IF(ABS(SUM(W37:W39))&gt;W55,1,0)))</f>
        <v>0</v>
      </c>
      <c r="Y37" s="183">
        <v>165</v>
      </c>
      <c r="Z37" s="95">
        <f>IF(SUM(Y37:Y39)+Y55=0,0,IF(ABS(SUM(Y37:Y39))=Y55,0.5,IF(ABS(SUM(Y37:Y39))&gt;Y55,1,0)))</f>
        <v>1</v>
      </c>
      <c r="AA37" s="189"/>
      <c r="AB37" s="95">
        <f>IF(SUM(AA37:AA39)+AA55=0,0,IF(ABS(SUM(AA37:AA39))=AA55,0.5,IF(ABS(SUM(AA37:AA39))&gt;AA55,1,0)))</f>
        <v>1</v>
      </c>
      <c r="AC37" s="183"/>
      <c r="AD37" s="95">
        <f>IF(SUM(AC37:AC39)+AC55=0,0,IF(ABS(SUM(AC37:AC39))=AC55,0.5,IF(ABS(SUM(AC37:AC39))&gt;AC55,1,0)))</f>
        <v>0</v>
      </c>
      <c r="AE37" s="195">
        <f t="shared" ref="AE37:AE48" si="31">ABS(SUM(U37:U37))+ABS(SUM(W37:W37))+ABS(SUM(Y37:Y37))+ABS(SUM(AA37:AA37))+ABS(SUM(AC37:AC37))</f>
        <v>526</v>
      </c>
      <c r="AF37" s="180">
        <f>SUM(V37+X37+Z37+AB37+AD37)</f>
        <v>2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7282</v>
      </c>
      <c r="BE37" s="213">
        <f t="shared" ref="BE37:BE48" si="33">AE37</f>
        <v>526</v>
      </c>
      <c r="BF37" s="215">
        <f t="shared" ref="BF37:BF48" si="34">COUNT(BH37:BL37)</f>
        <v>3</v>
      </c>
      <c r="BG37" s="215">
        <f t="shared" ref="BG37:BG48" si="35">COUNTIF(BH37:BL37,"&gt;0")</f>
        <v>3</v>
      </c>
      <c r="BH37" s="215">
        <f t="shared" ref="BH37:BH48" si="36">IF(U37=0,"",U37)</f>
        <v>194</v>
      </c>
      <c r="BI37" s="215">
        <f t="shared" ref="BI37:BI48" si="37">IF(W37=0,"",W37)</f>
        <v>167</v>
      </c>
      <c r="BJ37" s="215">
        <f t="shared" ref="BJ37:BJ48" si="38">IF(Y37=0,"",Y37)</f>
        <v>165</v>
      </c>
      <c r="BK37" s="215" t="str">
        <f t="shared" ref="BK37:BK48" si="39">IF(AA37=0,"",AA37)</f>
        <v/>
      </c>
      <c r="BL37" s="215" t="str">
        <f t="shared" ref="BL37:BL48" si="40">IF(AC37=0,"",AC37)</f>
        <v/>
      </c>
      <c r="BM37" s="216"/>
      <c r="BN37" s="214"/>
      <c r="BO37" s="215">
        <f t="shared" ref="BO37:BO48" si="41">MAX(BH37:BL37)</f>
        <v>194</v>
      </c>
      <c r="BP37" s="215">
        <f t="shared" ref="BP37:BP48" si="42">IF(BO37&lt;MAX(BO:BO),0,BO37+ROW()/1000000000)</f>
        <v>0</v>
      </c>
      <c r="BQ37" s="215" t="str">
        <f>+S33</f>
        <v>Herzogenaurach 1</v>
      </c>
      <c r="BR37" s="214">
        <f t="shared" ref="BR37:BR48" si="43">RANK(BP37,BP:BP)</f>
        <v>2</v>
      </c>
      <c r="BS37" s="215">
        <f t="shared" ref="BS37:BS48" si="44">SUMIF(BH37:BL37,"&gt;0")</f>
        <v>526</v>
      </c>
      <c r="BT37" s="215">
        <f>IF(COUNTIF(BH37:BL37,"&gt;0")&lt;Spielorte!$A$23,0,BE37/Spielorte!$A$23)</f>
        <v>0</v>
      </c>
      <c r="BU37" s="215">
        <f t="shared" ref="BU37:BU48" si="45">IF(BT37&lt;MAX(BT:BT),0,BT37+ROW()/1000000000)</f>
        <v>0</v>
      </c>
      <c r="BV37" s="214">
        <f t="shared" ref="BV37:BV48" si="46">IF(BU37=0,0,RANK(BU37,BU:BU))</f>
        <v>0</v>
      </c>
    </row>
    <row r="38" spans="1:74" ht="17.100000000000001" customHeight="1" x14ac:dyDescent="0.2">
      <c r="A38" s="374"/>
      <c r="B38" s="19" t="str">
        <f t="shared" ref="B38:D50" si="47">IF(S38=0,"",S38)</f>
        <v>Meier, Peter</v>
      </c>
      <c r="C38" s="20">
        <f t="shared" si="47"/>
        <v>7286</v>
      </c>
      <c r="D38" s="15" t="str">
        <f t="shared" si="47"/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>
        <f t="shared" si="28"/>
        <v>179</v>
      </c>
      <c r="K38" s="353"/>
      <c r="L38" s="15">
        <f t="shared" si="29"/>
        <v>170</v>
      </c>
      <c r="M38" s="353"/>
      <c r="N38" s="15">
        <f t="shared" si="30"/>
        <v>349</v>
      </c>
      <c r="O38" s="353"/>
      <c r="R38" s="356"/>
      <c r="S38" s="68" t="str">
        <f>IF(T38=0,"",VLOOKUP(T38,Starter!$A$1:$D$196,2,FALSE))</f>
        <v>Meier, Peter</v>
      </c>
      <c r="T38" s="176">
        <v>7286</v>
      </c>
      <c r="U38" s="184"/>
      <c r="V38" s="96"/>
      <c r="W38" s="184"/>
      <c r="X38" s="96"/>
      <c r="Y38" s="184"/>
      <c r="Z38" s="96"/>
      <c r="AA38" s="184">
        <v>179</v>
      </c>
      <c r="AB38" s="96"/>
      <c r="AC38" s="184">
        <v>170</v>
      </c>
      <c r="AD38" s="96"/>
      <c r="AE38" s="196">
        <f t="shared" si="31"/>
        <v>349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7286</v>
      </c>
      <c r="BE38" s="213">
        <f t="shared" si="33"/>
        <v>349</v>
      </c>
      <c r="BF38" s="215">
        <f t="shared" si="34"/>
        <v>2</v>
      </c>
      <c r="BG38" s="215">
        <f t="shared" si="35"/>
        <v>2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>
        <f t="shared" si="39"/>
        <v>179</v>
      </c>
      <c r="BL38" s="215">
        <f t="shared" si="40"/>
        <v>170</v>
      </c>
      <c r="BM38" s="216"/>
      <c r="BN38" s="214"/>
      <c r="BO38" s="215">
        <f t="shared" si="41"/>
        <v>179</v>
      </c>
      <c r="BP38" s="215">
        <f t="shared" si="42"/>
        <v>0</v>
      </c>
      <c r="BQ38" s="215" t="str">
        <f t="shared" ref="BQ38:BQ48" si="48">+BQ37</f>
        <v>Herzogenaurach 1</v>
      </c>
      <c r="BR38" s="214">
        <f t="shared" si="43"/>
        <v>2</v>
      </c>
      <c r="BS38" s="215">
        <f t="shared" si="44"/>
        <v>349</v>
      </c>
      <c r="BT38" s="215">
        <f>IF(COUNTIF(BH38:BL38,"&gt;0")&lt;Spielorte!$A$23,0,BE38/Spielorte!$A$23)</f>
        <v>0</v>
      </c>
      <c r="BU38" s="215">
        <f t="shared" si="45"/>
        <v>0</v>
      </c>
      <c r="BV38" s="214">
        <f t="shared" si="46"/>
        <v>0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7"/>
        <v/>
      </c>
      <c r="D39" s="9" t="str">
        <f t="shared" si="47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0</v>
      </c>
      <c r="BQ39" s="215" t="str">
        <f t="shared" si="48"/>
        <v>Herzogenaurach 1</v>
      </c>
      <c r="BR39" s="214">
        <f t="shared" si="43"/>
        <v>2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0</v>
      </c>
      <c r="BV39" s="214">
        <f t="shared" si="46"/>
        <v>0</v>
      </c>
    </row>
    <row r="40" spans="1:74" ht="17.100000000000001" customHeight="1" x14ac:dyDescent="0.2">
      <c r="A40" s="373" t="s">
        <v>2</v>
      </c>
      <c r="B40" s="17" t="str">
        <f t="shared" si="47"/>
        <v>Inkermann, Matthias</v>
      </c>
      <c r="C40" s="18">
        <f t="shared" si="47"/>
        <v>25760</v>
      </c>
      <c r="D40" s="14">
        <f t="shared" si="47"/>
        <v>202</v>
      </c>
      <c r="E40" s="352">
        <f>IF(V40="","",V40)</f>
        <v>1</v>
      </c>
      <c r="F40" s="14">
        <f t="shared" si="26"/>
        <v>149</v>
      </c>
      <c r="G40" s="352">
        <f>IF(X40="","",X40)</f>
        <v>0</v>
      </c>
      <c r="H40" s="14">
        <f t="shared" si="27"/>
        <v>193</v>
      </c>
      <c r="I40" s="352">
        <f>IF(Z40="","",Z40)</f>
        <v>1</v>
      </c>
      <c r="J40" s="14">
        <f t="shared" si="28"/>
        <v>160</v>
      </c>
      <c r="K40" s="352">
        <f>IF(AB40="","",AB40)</f>
        <v>1</v>
      </c>
      <c r="L40" s="14">
        <f t="shared" si="29"/>
        <v>161</v>
      </c>
      <c r="M40" s="352">
        <f>IF(AD40="","",AD40)</f>
        <v>1</v>
      </c>
      <c r="N40" s="14">
        <f t="shared" si="30"/>
        <v>865</v>
      </c>
      <c r="O40" s="352">
        <f>IF(AF40="","",AF40)</f>
        <v>4</v>
      </c>
      <c r="R40" s="355" t="s">
        <v>2</v>
      </c>
      <c r="S40" s="68" t="str">
        <f>IF(T40=0,"",VLOOKUP(T40,Starter!$A$1:$D$196,2,FALSE))</f>
        <v>Inkermann, Matthias</v>
      </c>
      <c r="T40" s="178">
        <v>25760</v>
      </c>
      <c r="U40" s="186">
        <v>202</v>
      </c>
      <c r="V40" s="95">
        <f>IF(SUM(U40:U42)+U56=0,0,IF(ABS(SUM(U40:U42))=U56,0.5,IF(ABS(SUM(U40:U42))&gt;U56,1,0)))</f>
        <v>1</v>
      </c>
      <c r="W40" s="186">
        <v>149</v>
      </c>
      <c r="X40" s="95">
        <f>IF(SUM(W40:W42)+W56=0,0,IF(ABS(SUM(W40:W42))=W56,0.5,IF(ABS(SUM(W40:W42))&gt;W56,1,0)))</f>
        <v>0</v>
      </c>
      <c r="Y40" s="186">
        <v>193</v>
      </c>
      <c r="Z40" s="95">
        <f>IF(SUM(Y40:Y42)+Y56=0,0,IF(ABS(SUM(Y40:Y42))=Y56,0.5,IF(ABS(SUM(Y40:Y42))&gt;Y56,1,0)))</f>
        <v>1</v>
      </c>
      <c r="AA40" s="186">
        <v>160</v>
      </c>
      <c r="AB40" s="95">
        <f>IF(SUM(AA40:AA42)+AA56=0,0,IF(ABS(SUM(AA40:AA42))=AA56,0.5,IF(ABS(SUM(AA40:AA42))&gt;AA56,1,0)))</f>
        <v>1</v>
      </c>
      <c r="AC40" s="186">
        <v>161</v>
      </c>
      <c r="AD40" s="95">
        <f>IF(SUM(AC40:AC42)+AC56=0,0,IF(ABS(SUM(AC40:AC42))=AC56,0.5,IF(ABS(SUM(AC40:AC42))&gt;AC56,1,0)))</f>
        <v>1</v>
      </c>
      <c r="AE40" s="195">
        <f t="shared" si="31"/>
        <v>865</v>
      </c>
      <c r="AF40" s="180">
        <f>SUM(V40+X40+Z40+AB40+AD40)</f>
        <v>4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25760</v>
      </c>
      <c r="BE40" s="213">
        <f t="shared" si="33"/>
        <v>865</v>
      </c>
      <c r="BF40" s="215">
        <f t="shared" si="34"/>
        <v>5</v>
      </c>
      <c r="BG40" s="215">
        <f t="shared" si="35"/>
        <v>5</v>
      </c>
      <c r="BH40" s="215">
        <f t="shared" si="36"/>
        <v>202</v>
      </c>
      <c r="BI40" s="215">
        <f t="shared" si="37"/>
        <v>149</v>
      </c>
      <c r="BJ40" s="215">
        <f t="shared" si="38"/>
        <v>193</v>
      </c>
      <c r="BK40" s="215">
        <f t="shared" si="39"/>
        <v>160</v>
      </c>
      <c r="BL40" s="215">
        <f t="shared" si="40"/>
        <v>161</v>
      </c>
      <c r="BM40" s="216"/>
      <c r="BN40" s="214"/>
      <c r="BO40" s="215">
        <f t="shared" si="41"/>
        <v>202</v>
      </c>
      <c r="BP40" s="215">
        <f t="shared" si="42"/>
        <v>0</v>
      </c>
      <c r="BQ40" s="215" t="str">
        <f t="shared" si="48"/>
        <v>Herzogenaurach 1</v>
      </c>
      <c r="BR40" s="214">
        <f t="shared" si="43"/>
        <v>2</v>
      </c>
      <c r="BS40" s="215">
        <f t="shared" si="44"/>
        <v>865</v>
      </c>
      <c r="BT40" s="215">
        <f>IF(COUNTIF(BH40:BL40,"&gt;0")&lt;Spielorte!$A$23,0,BE40/Spielorte!$A$23)</f>
        <v>173</v>
      </c>
      <c r="BU40" s="215">
        <f t="shared" si="45"/>
        <v>0</v>
      </c>
      <c r="BV40" s="214">
        <f t="shared" si="46"/>
        <v>0</v>
      </c>
    </row>
    <row r="41" spans="1:74" ht="17.100000000000001" customHeight="1" x14ac:dyDescent="0.2">
      <c r="A41" s="374"/>
      <c r="B41" s="19" t="str">
        <f t="shared" si="47"/>
        <v/>
      </c>
      <c r="C41" s="20" t="str">
        <f t="shared" si="47"/>
        <v/>
      </c>
      <c r="D41" s="15" t="str">
        <f t="shared" si="47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 t="str">
        <f t="shared" si="28"/>
        <v/>
      </c>
      <c r="K41" s="353"/>
      <c r="L41" s="15" t="str">
        <f t="shared" si="29"/>
        <v/>
      </c>
      <c r="M41" s="353"/>
      <c r="N41" s="15" t="str">
        <f t="shared" si="30"/>
        <v/>
      </c>
      <c r="O41" s="353"/>
      <c r="R41" s="356"/>
      <c r="S41" s="68" t="str">
        <f>IF(T41=0,"",VLOOKUP(T41,Starter!$A$1:$D$196,2,FALSE))</f>
        <v/>
      </c>
      <c r="T41" s="176"/>
      <c r="U41" s="184"/>
      <c r="V41" s="96"/>
      <c r="W41" s="184"/>
      <c r="X41" s="96"/>
      <c r="Y41" s="184"/>
      <c r="Z41" s="96"/>
      <c r="AA41" s="184"/>
      <c r="AB41" s="96"/>
      <c r="AC41" s="184"/>
      <c r="AD41" s="96"/>
      <c r="AE41" s="196">
        <f t="shared" si="31"/>
        <v>0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0</v>
      </c>
      <c r="BE41" s="213">
        <f t="shared" si="33"/>
        <v>0</v>
      </c>
      <c r="BF41" s="215">
        <f t="shared" si="34"/>
        <v>0</v>
      </c>
      <c r="BG41" s="215">
        <f t="shared" si="35"/>
        <v>0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 t="str">
        <f t="shared" si="39"/>
        <v/>
      </c>
      <c r="BL41" s="215" t="str">
        <f t="shared" si="40"/>
        <v/>
      </c>
      <c r="BM41" s="216"/>
      <c r="BN41" s="214"/>
      <c r="BO41" s="215">
        <f t="shared" si="41"/>
        <v>0</v>
      </c>
      <c r="BP41" s="215">
        <f t="shared" si="42"/>
        <v>0</v>
      </c>
      <c r="BQ41" s="215" t="str">
        <f t="shared" si="48"/>
        <v>Herzogenaurach 1</v>
      </c>
      <c r="BR41" s="214">
        <f t="shared" si="43"/>
        <v>2</v>
      </c>
      <c r="BS41" s="215">
        <f t="shared" si="44"/>
        <v>0</v>
      </c>
      <c r="BT41" s="215">
        <f>IF(COUNTIF(BH41:BL41,"&gt;0")&lt;Spielorte!$A$23,0,BE41/Spielorte!$A$23)</f>
        <v>0</v>
      </c>
      <c r="BU41" s="215">
        <f t="shared" si="45"/>
        <v>0</v>
      </c>
      <c r="BV41" s="214">
        <f t="shared" si="46"/>
        <v>0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7"/>
        <v/>
      </c>
      <c r="D42" s="9" t="str">
        <f t="shared" si="47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0</v>
      </c>
      <c r="BQ42" s="215" t="str">
        <f t="shared" si="48"/>
        <v>Herzogenaurach 1</v>
      </c>
      <c r="BR42" s="214">
        <f t="shared" si="43"/>
        <v>2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0</v>
      </c>
      <c r="BV42" s="214">
        <f t="shared" si="46"/>
        <v>0</v>
      </c>
    </row>
    <row r="43" spans="1:74" ht="17.100000000000001" customHeight="1" x14ac:dyDescent="0.2">
      <c r="A43" s="373" t="s">
        <v>3</v>
      </c>
      <c r="B43" s="17" t="str">
        <f t="shared" si="47"/>
        <v>Arnold, Nadine</v>
      </c>
      <c r="C43" s="18">
        <f t="shared" si="47"/>
        <v>25378</v>
      </c>
      <c r="D43" s="14">
        <f t="shared" si="47"/>
        <v>191</v>
      </c>
      <c r="E43" s="352">
        <f>IF(V43="","",V43)</f>
        <v>1</v>
      </c>
      <c r="F43" s="14">
        <f t="shared" si="26"/>
        <v>136</v>
      </c>
      <c r="G43" s="352">
        <f>IF(X43="","",X43)</f>
        <v>0</v>
      </c>
      <c r="H43" s="14">
        <f t="shared" si="27"/>
        <v>178</v>
      </c>
      <c r="I43" s="352">
        <f>IF(Z43="","",Z43)</f>
        <v>0</v>
      </c>
      <c r="J43" s="14">
        <f t="shared" si="28"/>
        <v>183</v>
      </c>
      <c r="K43" s="352">
        <f>IF(AB43="","",AB43)</f>
        <v>0</v>
      </c>
      <c r="L43" s="14">
        <f t="shared" si="29"/>
        <v>193</v>
      </c>
      <c r="M43" s="352">
        <f>IF(AD43="","",AD43)</f>
        <v>1</v>
      </c>
      <c r="N43" s="14">
        <f t="shared" si="30"/>
        <v>881</v>
      </c>
      <c r="O43" s="352">
        <f>IF(AF43="","",AF43)</f>
        <v>2</v>
      </c>
      <c r="R43" s="355" t="s">
        <v>3</v>
      </c>
      <c r="S43" s="68" t="str">
        <f>IF(T43=0,"",VLOOKUP(T43,Starter!$A$1:$D$196,2,FALSE))</f>
        <v>Arnold, Nadine</v>
      </c>
      <c r="T43" s="178">
        <v>25378</v>
      </c>
      <c r="U43" s="186">
        <v>191</v>
      </c>
      <c r="V43" s="95">
        <f>IF(SUM(U43:U45)+U57=0,0,IF(ABS(SUM(U43:U45))=U57,0.5,IF(ABS(SUM(U43:U45))&gt;U57,1,0)))</f>
        <v>1</v>
      </c>
      <c r="W43" s="186">
        <v>136</v>
      </c>
      <c r="X43" s="95">
        <f>IF(SUM(W43:W45)+W57=0,0,IF(ABS(SUM(W43:W45))=W57,0.5,IF(ABS(SUM(W43:W45))&gt;W57,1,0)))</f>
        <v>0</v>
      </c>
      <c r="Y43" s="186">
        <v>178</v>
      </c>
      <c r="Z43" s="95">
        <f>IF(SUM(Y43:Y45)+Y57=0,0,IF(ABS(SUM(Y43:Y45))=Y57,0.5,IF(ABS(SUM(Y43:Y45))&gt;Y57,1,0)))</f>
        <v>0</v>
      </c>
      <c r="AA43" s="186">
        <v>183</v>
      </c>
      <c r="AB43" s="95">
        <f>IF(SUM(AA43:AA45)+AA57=0,0,IF(ABS(SUM(AA43:AA45))=AA57,0.5,IF(ABS(SUM(AA43:AA45))&gt;AA57,1,0)))</f>
        <v>0</v>
      </c>
      <c r="AC43" s="186">
        <v>193</v>
      </c>
      <c r="AD43" s="95">
        <f>IF(SUM(AC43:AC45)+AC57=0,0,IF(ABS(SUM(AC43:AC45))=AC57,0.5,IF(ABS(SUM(AC43:AC45))&gt;AC57,1,0)))</f>
        <v>1</v>
      </c>
      <c r="AE43" s="195">
        <f t="shared" si="31"/>
        <v>881</v>
      </c>
      <c r="AF43" s="180">
        <f>SUM(V43+X43+Z43+AB43+AD43)</f>
        <v>2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25378</v>
      </c>
      <c r="BE43" s="213">
        <f t="shared" si="33"/>
        <v>881</v>
      </c>
      <c r="BF43" s="215">
        <f t="shared" si="34"/>
        <v>5</v>
      </c>
      <c r="BG43" s="215">
        <f t="shared" si="35"/>
        <v>5</v>
      </c>
      <c r="BH43" s="215">
        <f t="shared" si="36"/>
        <v>191</v>
      </c>
      <c r="BI43" s="215">
        <f t="shared" si="37"/>
        <v>136</v>
      </c>
      <c r="BJ43" s="215">
        <f t="shared" si="38"/>
        <v>178</v>
      </c>
      <c r="BK43" s="215">
        <f t="shared" si="39"/>
        <v>183</v>
      </c>
      <c r="BL43" s="215">
        <f t="shared" si="40"/>
        <v>193</v>
      </c>
      <c r="BM43" s="216"/>
      <c r="BN43" s="214"/>
      <c r="BO43" s="215">
        <f t="shared" si="41"/>
        <v>193</v>
      </c>
      <c r="BP43" s="215">
        <f t="shared" si="42"/>
        <v>0</v>
      </c>
      <c r="BQ43" s="215" t="str">
        <f t="shared" si="48"/>
        <v>Herzogenaurach 1</v>
      </c>
      <c r="BR43" s="214">
        <f t="shared" si="43"/>
        <v>2</v>
      </c>
      <c r="BS43" s="215">
        <f t="shared" si="44"/>
        <v>881</v>
      </c>
      <c r="BT43" s="215">
        <f>IF(COUNTIF(BH43:BL43,"&gt;0")&lt;Spielorte!$A$23,0,BE43/Spielorte!$A$23)</f>
        <v>176.2</v>
      </c>
      <c r="BU43" s="215">
        <f t="shared" si="45"/>
        <v>0</v>
      </c>
      <c r="BV43" s="214">
        <f t="shared" si="46"/>
        <v>0</v>
      </c>
    </row>
    <row r="44" spans="1:74" ht="17.100000000000001" customHeight="1" x14ac:dyDescent="0.2">
      <c r="A44" s="374"/>
      <c r="B44" s="19" t="str">
        <f t="shared" si="47"/>
        <v/>
      </c>
      <c r="C44" s="20" t="str">
        <f t="shared" si="47"/>
        <v/>
      </c>
      <c r="D44" s="15" t="str">
        <f t="shared" si="47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 t="str">
        <f t="shared" si="28"/>
        <v/>
      </c>
      <c r="K44" s="353"/>
      <c r="L44" s="15" t="str">
        <f t="shared" si="29"/>
        <v/>
      </c>
      <c r="M44" s="353"/>
      <c r="N44" s="15" t="str">
        <f t="shared" si="30"/>
        <v/>
      </c>
      <c r="O44" s="353"/>
      <c r="R44" s="356"/>
      <c r="S44" s="68" t="str">
        <f>IF(T44=0,"",VLOOKUP(T44,Starter!$A$1:$D$196,2,FALSE))</f>
        <v/>
      </c>
      <c r="T44" s="176"/>
      <c r="U44" s="184"/>
      <c r="V44" s="96"/>
      <c r="W44" s="184"/>
      <c r="X44" s="96"/>
      <c r="Y44" s="184"/>
      <c r="Z44" s="96"/>
      <c r="AA44" s="184"/>
      <c r="AB44" s="96"/>
      <c r="AC44" s="184"/>
      <c r="AD44" s="96"/>
      <c r="AE44" s="196">
        <f t="shared" si="31"/>
        <v>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0</v>
      </c>
      <c r="BE44" s="213">
        <f t="shared" si="33"/>
        <v>0</v>
      </c>
      <c r="BF44" s="215">
        <f t="shared" si="34"/>
        <v>0</v>
      </c>
      <c r="BG44" s="215">
        <f t="shared" si="35"/>
        <v>0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 t="str">
        <f t="shared" si="39"/>
        <v/>
      </c>
      <c r="BL44" s="215" t="str">
        <f t="shared" si="40"/>
        <v/>
      </c>
      <c r="BM44" s="216"/>
      <c r="BN44" s="214"/>
      <c r="BO44" s="215">
        <f t="shared" si="41"/>
        <v>0</v>
      </c>
      <c r="BP44" s="215">
        <f t="shared" si="42"/>
        <v>0</v>
      </c>
      <c r="BQ44" s="215" t="str">
        <f t="shared" si="48"/>
        <v>Herzogenaurach 1</v>
      </c>
      <c r="BR44" s="214">
        <f t="shared" si="43"/>
        <v>2</v>
      </c>
      <c r="BS44" s="215">
        <f t="shared" si="44"/>
        <v>0</v>
      </c>
      <c r="BT44" s="215">
        <f>IF(COUNTIF(BH44:BL44,"&gt;0")&lt;Spielorte!$A$23,0,BE44/Spielorte!$A$23)</f>
        <v>0</v>
      </c>
      <c r="BU44" s="215">
        <f t="shared" si="45"/>
        <v>0</v>
      </c>
      <c r="BV44" s="214">
        <f t="shared" si="46"/>
        <v>0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7"/>
        <v/>
      </c>
      <c r="D45" s="9" t="str">
        <f t="shared" si="47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0</v>
      </c>
      <c r="BQ45" s="215" t="str">
        <f t="shared" si="48"/>
        <v>Herzogenaurach 1</v>
      </c>
      <c r="BR45" s="214">
        <f t="shared" si="43"/>
        <v>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0</v>
      </c>
      <c r="BV45" s="214">
        <f t="shared" si="46"/>
        <v>0</v>
      </c>
    </row>
    <row r="46" spans="1:74" ht="17.100000000000001" customHeight="1" x14ac:dyDescent="0.2">
      <c r="A46" s="373" t="s">
        <v>11</v>
      </c>
      <c r="B46" s="17" t="str">
        <f>IF(S46=0,"",S46)</f>
        <v>Pichl, Jürgen</v>
      </c>
      <c r="C46" s="18">
        <f t="shared" si="47"/>
        <v>7283</v>
      </c>
      <c r="D46" s="14">
        <f t="shared" si="47"/>
        <v>168</v>
      </c>
      <c r="E46" s="352">
        <f>IF(V46="","",V46)</f>
        <v>0</v>
      </c>
      <c r="F46" s="14">
        <f t="shared" si="26"/>
        <v>156</v>
      </c>
      <c r="G46" s="352">
        <f>IF(X46="","",X46)</f>
        <v>0</v>
      </c>
      <c r="H46" s="14">
        <f t="shared" si="27"/>
        <v>172</v>
      </c>
      <c r="I46" s="352">
        <f>IF(Z46="","",Z46)</f>
        <v>0</v>
      </c>
      <c r="J46" s="14">
        <f t="shared" si="28"/>
        <v>175</v>
      </c>
      <c r="K46" s="352">
        <f>IF(AB46="","",AB46)</f>
        <v>0</v>
      </c>
      <c r="L46" s="14">
        <f t="shared" si="29"/>
        <v>179</v>
      </c>
      <c r="M46" s="352">
        <f>IF(AD46="","",AD46)</f>
        <v>1</v>
      </c>
      <c r="N46" s="14">
        <f t="shared" si="30"/>
        <v>850</v>
      </c>
      <c r="O46" s="352">
        <f>IF(AF46="","",AF46)</f>
        <v>1</v>
      </c>
      <c r="R46" s="355" t="s">
        <v>11</v>
      </c>
      <c r="S46" s="68" t="str">
        <f>IF(T46=0,"",VLOOKUP(T46,Starter!$A$1:$D$196,2,FALSE))</f>
        <v>Pichl, Jürgen</v>
      </c>
      <c r="T46" s="178">
        <v>7283</v>
      </c>
      <c r="U46" s="186">
        <v>168</v>
      </c>
      <c r="V46" s="95">
        <f>IF(SUM(U46:U48)+U58=0,0,IF(ABS(SUM(U46:U48))=U58,0.5,IF(ABS(SUM(U46:U48))&gt;U58,1,0)))</f>
        <v>0</v>
      </c>
      <c r="W46" s="186">
        <v>156</v>
      </c>
      <c r="X46" s="95">
        <f>IF(SUM(W46:W48)+W58=0,0,IF(ABS(SUM(W46:W48))=W58,0.5,IF(ABS(SUM(W46:W48))&gt;W58,1,0)))</f>
        <v>0</v>
      </c>
      <c r="Y46" s="186">
        <v>172</v>
      </c>
      <c r="Z46" s="95">
        <f>IF(SUM(Y46:Y48)+Y58=0,0,IF(ABS(SUM(Y46:Y48))=Y58,0.5,IF(ABS(SUM(Y46:Y48))&gt;Y58,1,0)))</f>
        <v>0</v>
      </c>
      <c r="AA46" s="186">
        <v>175</v>
      </c>
      <c r="AB46" s="95">
        <f>IF(SUM(AA46:AA48)+AA58=0,0,IF(ABS(SUM(AA46:AA48))=AA58,0.5,IF(ABS(SUM(AA46:AA48))&gt;AA58,1,0)))</f>
        <v>0</v>
      </c>
      <c r="AC46" s="186">
        <v>179</v>
      </c>
      <c r="AD46" s="95">
        <f>IF(SUM(AC46:AC48)+AC58=0,0,IF(ABS(SUM(AC46:AC48))=AC58,0.5,IF(ABS(SUM(AC46:AC48))&gt;AC58,1,0)))</f>
        <v>1</v>
      </c>
      <c r="AE46" s="195">
        <f t="shared" si="31"/>
        <v>850</v>
      </c>
      <c r="AF46" s="180">
        <f>SUM(V46+X46+Z46+AB46+AD46)</f>
        <v>1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7283</v>
      </c>
      <c r="BE46" s="213">
        <f t="shared" si="33"/>
        <v>850</v>
      </c>
      <c r="BF46" s="215">
        <f t="shared" si="34"/>
        <v>5</v>
      </c>
      <c r="BG46" s="215">
        <f t="shared" si="35"/>
        <v>5</v>
      </c>
      <c r="BH46" s="215">
        <f t="shared" si="36"/>
        <v>168</v>
      </c>
      <c r="BI46" s="215">
        <f t="shared" si="37"/>
        <v>156</v>
      </c>
      <c r="BJ46" s="215">
        <f t="shared" si="38"/>
        <v>172</v>
      </c>
      <c r="BK46" s="215">
        <f t="shared" si="39"/>
        <v>175</v>
      </c>
      <c r="BL46" s="215">
        <f t="shared" si="40"/>
        <v>179</v>
      </c>
      <c r="BM46" s="216"/>
      <c r="BN46" s="214"/>
      <c r="BO46" s="215">
        <f t="shared" si="41"/>
        <v>179</v>
      </c>
      <c r="BP46" s="215">
        <f t="shared" si="42"/>
        <v>0</v>
      </c>
      <c r="BQ46" s="215" t="str">
        <f t="shared" si="48"/>
        <v>Herzogenaurach 1</v>
      </c>
      <c r="BR46" s="214">
        <f t="shared" si="43"/>
        <v>2</v>
      </c>
      <c r="BS46" s="215">
        <f t="shared" si="44"/>
        <v>850</v>
      </c>
      <c r="BT46" s="215">
        <f>IF(COUNTIF(BH46:BL46,"&gt;0")&lt;Spielorte!$A$23,0,BE46/Spielorte!$A$23)</f>
        <v>170</v>
      </c>
      <c r="BU46" s="215">
        <f t="shared" si="45"/>
        <v>0</v>
      </c>
      <c r="BV46" s="214">
        <f t="shared" si="46"/>
        <v>0</v>
      </c>
    </row>
    <row r="47" spans="1:74" ht="17.100000000000001" customHeight="1" x14ac:dyDescent="0.2">
      <c r="A47" s="374"/>
      <c r="B47" s="19" t="str">
        <f>IF(S47=0,"",S47)</f>
        <v/>
      </c>
      <c r="C47" s="20" t="str">
        <f t="shared" si="47"/>
        <v/>
      </c>
      <c r="D47" s="15" t="str">
        <f t="shared" si="47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 t="str">
        <f t="shared" si="28"/>
        <v/>
      </c>
      <c r="K47" s="353"/>
      <c r="L47" s="15" t="str">
        <f t="shared" si="29"/>
        <v/>
      </c>
      <c r="M47" s="353"/>
      <c r="N47" s="15" t="str">
        <f t="shared" si="30"/>
        <v/>
      </c>
      <c r="O47" s="353"/>
      <c r="R47" s="356"/>
      <c r="S47" s="68" t="str">
        <f>IF(T47=0,"",VLOOKUP(T47,Starter!$A$1:$D$196,2,FALSE))</f>
        <v/>
      </c>
      <c r="T47" s="176"/>
      <c r="U47" s="184"/>
      <c r="V47" s="96"/>
      <c r="W47" s="184"/>
      <c r="X47" s="96"/>
      <c r="Y47" s="184"/>
      <c r="Z47" s="96"/>
      <c r="AA47" s="184"/>
      <c r="AB47" s="96"/>
      <c r="AC47" s="184"/>
      <c r="AD47" s="96"/>
      <c r="AE47" s="196">
        <f t="shared" si="31"/>
        <v>0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0</v>
      </c>
      <c r="BE47" s="213">
        <f t="shared" si="33"/>
        <v>0</v>
      </c>
      <c r="BF47" s="215">
        <f t="shared" si="34"/>
        <v>0</v>
      </c>
      <c r="BG47" s="215">
        <f t="shared" si="35"/>
        <v>0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 t="str">
        <f t="shared" si="39"/>
        <v/>
      </c>
      <c r="BL47" s="215" t="str">
        <f t="shared" si="40"/>
        <v/>
      </c>
      <c r="BM47" s="216"/>
      <c r="BN47" s="214"/>
      <c r="BO47" s="215">
        <f t="shared" si="41"/>
        <v>0</v>
      </c>
      <c r="BP47" s="215">
        <f t="shared" si="42"/>
        <v>0</v>
      </c>
      <c r="BQ47" s="215" t="str">
        <f t="shared" si="48"/>
        <v>Herzogenaurach 1</v>
      </c>
      <c r="BR47" s="214">
        <f t="shared" si="43"/>
        <v>2</v>
      </c>
      <c r="BS47" s="215">
        <f t="shared" si="44"/>
        <v>0</v>
      </c>
      <c r="BT47" s="215">
        <f>IF(COUNTIF(BH47:BL47,"&gt;0")&lt;Spielorte!$A$23,0,BE47/Spielorte!$A$23)</f>
        <v>0</v>
      </c>
      <c r="BU47" s="215">
        <f t="shared" si="45"/>
        <v>0</v>
      </c>
      <c r="BV47" s="214">
        <f t="shared" si="46"/>
        <v>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7"/>
        <v/>
      </c>
      <c r="D48" s="9" t="str">
        <f t="shared" si="47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0</v>
      </c>
      <c r="BQ48" s="215" t="str">
        <f t="shared" si="48"/>
        <v>Herzogenaurach 1</v>
      </c>
      <c r="BR48" s="214">
        <f t="shared" si="43"/>
        <v>2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0</v>
      </c>
      <c r="BV48" s="214">
        <f t="shared" si="46"/>
        <v>0</v>
      </c>
    </row>
    <row r="49" spans="1:74" ht="27.75" customHeight="1" thickBot="1" x14ac:dyDescent="0.25">
      <c r="B49" s="11" t="str">
        <f>IF(S49=0,"",S49)</f>
        <v>Gesamt</v>
      </c>
      <c r="C49" s="26" t="str">
        <f t="shared" si="47"/>
        <v/>
      </c>
      <c r="D49" s="16">
        <f t="shared" si="47"/>
        <v>755</v>
      </c>
      <c r="E49" s="12">
        <f>IF(V49="","",V49)</f>
        <v>2</v>
      </c>
      <c r="F49" s="16">
        <f t="shared" si="26"/>
        <v>608</v>
      </c>
      <c r="G49" s="12">
        <f>IF(X49="","",X49)</f>
        <v>0</v>
      </c>
      <c r="H49" s="16">
        <f t="shared" si="27"/>
        <v>708</v>
      </c>
      <c r="I49" s="12">
        <f>IF(Z49="","",Z49)</f>
        <v>2</v>
      </c>
      <c r="J49" s="16">
        <f t="shared" si="28"/>
        <v>697</v>
      </c>
      <c r="K49" s="12">
        <f>IF(AB49="","",AB49)</f>
        <v>0</v>
      </c>
      <c r="L49" s="16">
        <f t="shared" si="29"/>
        <v>703</v>
      </c>
      <c r="M49" s="12">
        <f>IF(AD49="","",AD49)</f>
        <v>0</v>
      </c>
      <c r="N49" s="16">
        <f t="shared" si="30"/>
        <v>3471</v>
      </c>
      <c r="O49" s="12">
        <f>IF(AF49="","",AF49)</f>
        <v>4</v>
      </c>
      <c r="S49" s="11" t="s">
        <v>1791</v>
      </c>
      <c r="T49" s="71"/>
      <c r="U49" s="188">
        <f>ABS(SUM(U37:U39))+ABS(SUM(U40:U42))+ABS(SUM(U43:U45))+ABS(SUM(U46:U48))</f>
        <v>755</v>
      </c>
      <c r="V49" s="98">
        <f>IF(U49+U59=0,0,IF(U49=U59,1,IF(U49&gt;U59,2,0)))</f>
        <v>2</v>
      </c>
      <c r="W49" s="188">
        <f>ABS(SUM(W37:W39))+ABS(SUM(W40:W42))+ABS(SUM(W43:W45))+ABS(SUM(W46:W48))</f>
        <v>608</v>
      </c>
      <c r="X49" s="98">
        <f>IF(W49+W59=0,0,IF(W49=W59,1,IF(W49&gt;W59,2,0)))</f>
        <v>0</v>
      </c>
      <c r="Y49" s="188">
        <f>ABS(SUM(Y37:Y39))+ABS(SUM(Y40:Y42))+ABS(SUM(Y43:Y45))+ABS(SUM(Y46:Y48))</f>
        <v>708</v>
      </c>
      <c r="Z49" s="98">
        <f>IF(Y49+Y59=0,0,IF(Y49=Y59,1,IF(Y49&gt;Y59,2,0)))</f>
        <v>2</v>
      </c>
      <c r="AA49" s="188">
        <f>ABS(SUM(AA37:AA39))+ABS(SUM(AA40:AA42))+ABS(SUM(AA43:AA45))+ABS(SUM(AA46:AA48))</f>
        <v>697</v>
      </c>
      <c r="AB49" s="98">
        <f>IF(AA49+AA59=0,0,IF(AA49=AA59,1,IF(AA49&gt;AA59,2,0)))</f>
        <v>0</v>
      </c>
      <c r="AC49" s="188">
        <f>ABS(SUM(AC37:AC39))+ABS(SUM(AC40:AC42))+ABS(SUM(AC43:AC45))+ABS(SUM(AC46:AC48))</f>
        <v>703</v>
      </c>
      <c r="AD49" s="98">
        <f>IF(AC49+AC59=0,0,IF(AC49=AC59,1,IF(AC49&gt;AC59,2,0)))</f>
        <v>0</v>
      </c>
      <c r="AE49" s="198">
        <f>SUM(U49+W49+Y49+AA49+AC49)</f>
        <v>3471</v>
      </c>
      <c r="AF49" s="12">
        <f>SUM(V49+X49+Z49+AB49+AD49)</f>
        <v>4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7"/>
        <v/>
      </c>
      <c r="D50" s="1" t="str">
        <f t="shared" si="47"/>
        <v/>
      </c>
      <c r="E50" s="23">
        <f>IF(V50="","",V50)</f>
        <v>4</v>
      </c>
      <c r="F50" s="1" t="str">
        <f t="shared" si="26"/>
        <v/>
      </c>
      <c r="G50" s="23">
        <f>IF(X50="","",X50)</f>
        <v>0</v>
      </c>
      <c r="H50" s="1" t="str">
        <f t="shared" si="27"/>
        <v/>
      </c>
      <c r="I50" s="23">
        <f>IF(Z50="","",Z50)</f>
        <v>4</v>
      </c>
      <c r="J50" s="1" t="str">
        <f t="shared" si="28"/>
        <v/>
      </c>
      <c r="K50" s="23">
        <f>IF(AB50="","",AB50)</f>
        <v>2</v>
      </c>
      <c r="L50" s="1" t="str">
        <f t="shared" si="29"/>
        <v/>
      </c>
      <c r="M50" s="23">
        <f>IF(AD50="","",AD50)</f>
        <v>3</v>
      </c>
      <c r="N50" s="1" t="str">
        <f t="shared" si="30"/>
        <v/>
      </c>
      <c r="O50" s="23">
        <f>IF(AF50="","",AF50)</f>
        <v>13</v>
      </c>
      <c r="S50" s="8" t="s">
        <v>1802</v>
      </c>
      <c r="T50" s="1"/>
      <c r="U50" s="1"/>
      <c r="V50" s="72">
        <f>SUM(V37:V49)</f>
        <v>4</v>
      </c>
      <c r="W50" s="1"/>
      <c r="X50" s="72">
        <f>SUM(X37:X49)</f>
        <v>0</v>
      </c>
      <c r="Y50" s="1"/>
      <c r="Z50" s="72">
        <f>SUM(Z37:Z49)</f>
        <v>4</v>
      </c>
      <c r="AA50" s="1"/>
      <c r="AB50" s="72">
        <f>SUM(AB37:AB49)</f>
        <v>2</v>
      </c>
      <c r="AC50" s="1"/>
      <c r="AD50" s="72">
        <f>SUM(AD37:AD49)</f>
        <v>3</v>
      </c>
      <c r="AE50" s="1"/>
      <c r="AF50" s="72">
        <f>SUM(AF37:AF49)</f>
        <v>13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13</v>
      </c>
      <c r="BB50" s="213">
        <f>AE49</f>
        <v>3471</v>
      </c>
      <c r="BC50" s="214">
        <f>+S32</f>
        <v>2</v>
      </c>
      <c r="BF50" s="215">
        <f>SUM(BF31:BF49)</f>
        <v>20</v>
      </c>
      <c r="BM50" s="212">
        <f>+BB50/1000000+BA50</f>
        <v>13.003470999999999</v>
      </c>
      <c r="BN50" s="214">
        <f>RANK(BM50,BM:BM)</f>
        <v>5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K54" si="49">IF(S52=0,"",S52)</f>
        <v>Gegner-Nr.:</v>
      </c>
      <c r="C52" s="5" t="str">
        <f t="shared" si="49"/>
        <v>&gt;&gt;&gt;&gt;</v>
      </c>
      <c r="D52" s="350">
        <f t="shared" si="49"/>
        <v>6</v>
      </c>
      <c r="E52" s="350" t="str">
        <f t="shared" si="49"/>
        <v/>
      </c>
      <c r="F52" s="350">
        <f t="shared" si="49"/>
        <v>3</v>
      </c>
      <c r="G52" s="350" t="str">
        <f t="shared" si="49"/>
        <v/>
      </c>
      <c r="H52" s="350">
        <f t="shared" si="49"/>
        <v>1</v>
      </c>
      <c r="I52" s="350" t="str">
        <f t="shared" si="49"/>
        <v/>
      </c>
      <c r="J52" s="350">
        <f t="shared" si="49"/>
        <v>4</v>
      </c>
      <c r="K52" s="350" t="str">
        <f t="shared" si="49"/>
        <v/>
      </c>
      <c r="L52" s="350">
        <f t="shared" ref="L52:M54" si="50">IF(AC52=0,"",AC52)</f>
        <v>5</v>
      </c>
      <c r="M52" s="350" t="str">
        <f t="shared" si="50"/>
        <v/>
      </c>
      <c r="N52" s="351"/>
      <c r="O52" s="351"/>
      <c r="S52" s="13" t="s">
        <v>1789</v>
      </c>
      <c r="T52" s="5" t="s">
        <v>1790</v>
      </c>
      <c r="U52" s="369">
        <f>VLOOKUP($S32,Schlüssel!$A$5:$DG$10,43)</f>
        <v>6</v>
      </c>
      <c r="V52" s="370"/>
      <c r="W52" s="369">
        <f>VLOOKUP($S32,Schlüssel!$A$5:$EK$10,44)</f>
        <v>3</v>
      </c>
      <c r="X52" s="370"/>
      <c r="Y52" s="369">
        <f>VLOOKUP($S32,Schlüssel!$A$5:$EK$10,45)</f>
        <v>1</v>
      </c>
      <c r="Z52" s="370"/>
      <c r="AA52" s="369">
        <f>VLOOKUP($S32,Schlüssel!$A$5:$EK$10,46)</f>
        <v>4</v>
      </c>
      <c r="AB52" s="370"/>
      <c r="AC52" s="369">
        <f>VLOOKUP($S32,Schlüssel!$A$5:$EK$10,47)</f>
        <v>5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si="49"/>
        <v/>
      </c>
      <c r="C53" s="1" t="str">
        <f t="shared" si="49"/>
        <v/>
      </c>
      <c r="D53" s="347" t="str">
        <f t="shared" si="49"/>
        <v>Adler Nürnberg 1</v>
      </c>
      <c r="E53" s="348" t="str">
        <f t="shared" si="49"/>
        <v/>
      </c>
      <c r="F53" s="347" t="str">
        <f t="shared" si="49"/>
        <v>Kings Club Bayreuth Land 2</v>
      </c>
      <c r="G53" s="348" t="str">
        <f t="shared" si="49"/>
        <v/>
      </c>
      <c r="H53" s="347" t="str">
        <f t="shared" si="49"/>
        <v>Castra Regina Regensburg 3</v>
      </c>
      <c r="I53" s="348" t="str">
        <f t="shared" si="49"/>
        <v/>
      </c>
      <c r="J53" s="347" t="str">
        <f t="shared" si="49"/>
        <v>Kings Club Bayreuth Land 3</v>
      </c>
      <c r="K53" s="348" t="str">
        <f t="shared" si="49"/>
        <v/>
      </c>
      <c r="L53" s="347" t="str">
        <f t="shared" si="50"/>
        <v>Castra Regina Regensburg 2</v>
      </c>
      <c r="M53" s="348" t="str">
        <f t="shared" si="50"/>
        <v/>
      </c>
      <c r="N53" s="349"/>
      <c r="O53" s="349"/>
      <c r="S53" s="4"/>
      <c r="T53" s="1"/>
      <c r="U53" s="347" t="str">
        <f>VLOOKUP(U52,Schlüssel!$A$5:$K$10,2)</f>
        <v>Adler Nürnberg 1</v>
      </c>
      <c r="V53" s="348"/>
      <c r="W53" s="347" t="str">
        <f>VLOOKUP(W52,Schlüssel!$A$5:$K$10,2)</f>
        <v>Kings Club Bayreuth Land 2</v>
      </c>
      <c r="X53" s="348"/>
      <c r="Y53" s="347" t="str">
        <f>VLOOKUP(Y52,Schlüssel!$A$5:$K$10,2)</f>
        <v>Castra Regina Regensburg 3</v>
      </c>
      <c r="Z53" s="348"/>
      <c r="AA53" s="347" t="str">
        <f>VLOOKUP(AA52,Schlüssel!$A$5:$K$10,2)</f>
        <v>Kings Club Bayreuth Land 3</v>
      </c>
      <c r="AB53" s="348"/>
      <c r="AC53" s="347" t="str">
        <f>VLOOKUP(AC52,Schlüssel!$A$5:$K$10,2)</f>
        <v>Castra Regina Regensburg 2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49"/>
        <v/>
      </c>
      <c r="C54" s="1" t="str">
        <f t="shared" si="49"/>
        <v/>
      </c>
      <c r="D54" s="346" t="str">
        <f t="shared" si="49"/>
        <v/>
      </c>
      <c r="E54" s="346" t="str">
        <f t="shared" si="49"/>
        <v/>
      </c>
      <c r="F54" s="346" t="str">
        <f t="shared" si="49"/>
        <v/>
      </c>
      <c r="G54" s="346" t="str">
        <f t="shared" si="49"/>
        <v/>
      </c>
      <c r="H54" s="346" t="str">
        <f t="shared" si="49"/>
        <v/>
      </c>
      <c r="I54" s="346" t="str">
        <f t="shared" si="49"/>
        <v/>
      </c>
      <c r="J54" s="346" t="str">
        <f t="shared" si="49"/>
        <v/>
      </c>
      <c r="K54" s="346" t="str">
        <f t="shared" si="49"/>
        <v/>
      </c>
      <c r="L54" s="346" t="str">
        <f t="shared" si="50"/>
        <v/>
      </c>
      <c r="M54" s="346" t="str">
        <f t="shared" si="50"/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ref="B55:C59" si="51">IF(S55=0,"",S55)</f>
        <v>Spieler 1</v>
      </c>
      <c r="C55" s="372" t="str">
        <f t="shared" si="51"/>
        <v/>
      </c>
      <c r="D55" s="344">
        <f>IF(U55=301,"",U55)</f>
        <v>233</v>
      </c>
      <c r="E55" s="344" t="str">
        <f>IF(V55=0,"",V55)</f>
        <v/>
      </c>
      <c r="F55" s="344">
        <f>IF(W55=301,"",W55)</f>
        <v>181</v>
      </c>
      <c r="G55" s="344" t="str">
        <f>IF(X55=0,"",X55)</f>
        <v/>
      </c>
      <c r="H55" s="344">
        <f>IF(Y55=301,"",Y55)</f>
        <v>147</v>
      </c>
      <c r="I55" s="344" t="str">
        <f>IF(Z55=0,"",Z55)</f>
        <v/>
      </c>
      <c r="J55" s="344">
        <f>IF(AA55=301,"",AA55)</f>
        <v>173</v>
      </c>
      <c r="K55" s="344" t="str">
        <f>IF(AB55=0,"",AB55)</f>
        <v/>
      </c>
      <c r="L55" s="344">
        <f>IF(AC55=301,"",AC55)</f>
        <v>200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233</v>
      </c>
      <c r="V55" s="368"/>
      <c r="W55" s="367">
        <f>ABS(INDEX(W:W,MATCH(W52,$S:$S,0)+5)+INDEX(W:W,MATCH(W52,$S:$S,0)+6)+INDEX(W:W,MATCH(W52,$S:$S,0)+7))</f>
        <v>181</v>
      </c>
      <c r="X55" s="368"/>
      <c r="Y55" s="367">
        <f>ABS(INDEX(Y:Y,MATCH(Y52,$S:$S,0)+5)+INDEX(Y:Y,MATCH(Y52,$S:$S,0)+6)+INDEX(Y:Y,MATCH(Y52,$S:$S,0)+7))</f>
        <v>147</v>
      </c>
      <c r="Z55" s="368"/>
      <c r="AA55" s="367">
        <f>ABS(INDEX(AA:AA,MATCH(AA52,$S:$S,0)+5)+INDEX(AA:AA,MATCH(AA52,$S:$S,0)+6)+INDEX(AA:AA,MATCH(AA52,$S:$S,0)+7))</f>
        <v>173</v>
      </c>
      <c r="AB55" s="368"/>
      <c r="AC55" s="367">
        <f>ABS(INDEX(AC:AC,MATCH(AC52,$S:$S,0)+5)+INDEX(AC:AC,MATCH(AC52,$S:$S,0)+6)+INDEX(AC:AC,MATCH(AC52,$S:$S,0)+7))</f>
        <v>200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1"/>
        <v/>
      </c>
      <c r="D56" s="344">
        <f>IF(U56=301,"",U56)</f>
        <v>137</v>
      </c>
      <c r="E56" s="344" t="str">
        <f>IF(V56=0,"",V56)</f>
        <v/>
      </c>
      <c r="F56" s="344">
        <f>IF(W56=301,"",W56)</f>
        <v>159</v>
      </c>
      <c r="G56" s="344" t="str">
        <f>IF(X56=0,"",X56)</f>
        <v/>
      </c>
      <c r="H56" s="344">
        <f>IF(Y56=301,"",Y56)</f>
        <v>134</v>
      </c>
      <c r="I56" s="344" t="str">
        <f>IF(Z56=0,"",Z56)</f>
        <v/>
      </c>
      <c r="J56" s="344">
        <f>IF(AA56=301,"",AA56)</f>
        <v>157</v>
      </c>
      <c r="K56" s="344" t="str">
        <f>IF(AB56=0,"",AB56)</f>
        <v/>
      </c>
      <c r="L56" s="344">
        <f>IF(AC56=301,"",AC56)</f>
        <v>157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137</v>
      </c>
      <c r="V56" s="366"/>
      <c r="W56" s="365">
        <f>ABS(INDEX(W:W,MATCH(W52,$S:$S,0)+8)+INDEX(W:W,MATCH(W52,$S:$S,0)+9)+INDEX(W:W,MATCH(W52,$S:$S,0)+10))</f>
        <v>159</v>
      </c>
      <c r="X56" s="366"/>
      <c r="Y56" s="365">
        <f>ABS(INDEX(Y:Y,MATCH(Y52,$S:$S,0)+8)+INDEX(Y:Y,MATCH(Y52,$S:$S,0)+9)+INDEX(Y:Y,MATCH(Y52,$S:$S,0)+10))</f>
        <v>134</v>
      </c>
      <c r="Z56" s="366"/>
      <c r="AA56" s="365">
        <f>ABS(INDEX(AA:AA,MATCH(AA52,$S:$S,0)+8)+INDEX(AA:AA,MATCH(AA52,$S:$S,0)+9)+INDEX(AA:AA,MATCH(AA52,$S:$S,0)+10))</f>
        <v>157</v>
      </c>
      <c r="AB56" s="366"/>
      <c r="AC56" s="365">
        <f>ABS(INDEX(AC:AC,MATCH(AC52,$S:$S,0)+8)+INDEX(AC:AC,MATCH(AC52,$S:$S,0)+9)+INDEX(AC:AC,MATCH(AC52,$S:$S,0)+10))</f>
        <v>157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1"/>
        <v/>
      </c>
      <c r="D57" s="344">
        <f>IF(U57=301,"",U57)</f>
        <v>135</v>
      </c>
      <c r="E57" s="344" t="str">
        <f>IF(V57=0,"",V57)</f>
        <v/>
      </c>
      <c r="F57" s="344">
        <f>IF(W57=301,"",W57)</f>
        <v>170</v>
      </c>
      <c r="G57" s="344" t="str">
        <f>IF(X57=0,"",X57)</f>
        <v/>
      </c>
      <c r="H57" s="344">
        <f>IF(Y57=301,"",Y57)</f>
        <v>192</v>
      </c>
      <c r="I57" s="344" t="str">
        <f>IF(Z57=0,"",Z57)</f>
        <v/>
      </c>
      <c r="J57" s="344">
        <f>IF(AA57=301,"",AA57)</f>
        <v>209</v>
      </c>
      <c r="K57" s="344" t="str">
        <f>IF(AB57=0,"",AB57)</f>
        <v/>
      </c>
      <c r="L57" s="344">
        <f>IF(AC57=301,"",AC57)</f>
        <v>189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135</v>
      </c>
      <c r="V57" s="366"/>
      <c r="W57" s="365">
        <f>ABS(INDEX(W:W,MATCH(W52,$S:$S,0)+11)+INDEX(W:W,MATCH(W52,$S:$S,0)+12)+INDEX(W:W,MATCH(W52,$S:$S,0)+13))</f>
        <v>170</v>
      </c>
      <c r="X57" s="366"/>
      <c r="Y57" s="365">
        <f>ABS(INDEX(Y:Y,MATCH(Y52,$S:$S,0)+11)+INDEX(Y:Y,MATCH(Y52,$S:$S,0)+12)+INDEX(Y:Y,MATCH(Y52,$S:$S,0)+13))</f>
        <v>192</v>
      </c>
      <c r="Z57" s="366"/>
      <c r="AA57" s="365">
        <f>ABS(INDEX(AA:AA,MATCH(AA52,$S:$S,0)+11)+INDEX(AA:AA,MATCH(AA52,$S:$S,0)+12)+INDEX(AA:AA,MATCH(AA52,$S:$S,0)+13))</f>
        <v>209</v>
      </c>
      <c r="AB57" s="366"/>
      <c r="AC57" s="365">
        <f>ABS(INDEX(AC:AC,MATCH(AC52,$S:$S,0)+11)+INDEX(AC:AC,MATCH(AC52,$S:$S,0)+12)+INDEX(AC:AC,MATCH(AC52,$S:$S,0)+13))</f>
        <v>189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1"/>
        <v/>
      </c>
      <c r="D58" s="344">
        <f>IF(U58=301,"",U58)</f>
        <v>204</v>
      </c>
      <c r="E58" s="344" t="str">
        <f>IF(V58=0,"",V58)</f>
        <v/>
      </c>
      <c r="F58" s="344">
        <f>IF(W58=301,"",W58)</f>
        <v>168</v>
      </c>
      <c r="G58" s="344" t="str">
        <f>IF(X58=0,"",X58)</f>
        <v/>
      </c>
      <c r="H58" s="344">
        <f>IF(Y58=301,"",Y58)</f>
        <v>216</v>
      </c>
      <c r="I58" s="344" t="str">
        <f>IF(Z58=0,"",Z58)</f>
        <v/>
      </c>
      <c r="J58" s="344">
        <f>IF(AA58=301,"",AA58)</f>
        <v>176</v>
      </c>
      <c r="K58" s="344" t="str">
        <f>IF(AB58=0,"",AB58)</f>
        <v/>
      </c>
      <c r="L58" s="344">
        <f>IF(AC58=301,"",AC58)</f>
        <v>177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204</v>
      </c>
      <c r="V58" s="366"/>
      <c r="W58" s="365">
        <f>ABS(INDEX(W:W,MATCH(W52,$S:$S,0)+14)+INDEX(W:W,MATCH(W52,$S:$S,0)+15)+INDEX(W:W,MATCH(W52,$S:$S,0)+16))</f>
        <v>168</v>
      </c>
      <c r="X58" s="366"/>
      <c r="Y58" s="365">
        <f>ABS(INDEX(Y:Y,MATCH(Y52,$S:$S,0)+14)+INDEX(Y:Y,MATCH(Y52,$S:$S,0)+15)+INDEX(Y:Y,MATCH(Y52,$S:$S,0)+16))</f>
        <v>216</v>
      </c>
      <c r="Z58" s="366"/>
      <c r="AA58" s="365">
        <f>ABS(INDEX(AA:AA,MATCH(AA52,$S:$S,0)+14)+INDEX(AA:AA,MATCH(AA52,$S:$S,0)+15)+INDEX(AA:AA,MATCH(AA52,$S:$S,0)+16))</f>
        <v>176</v>
      </c>
      <c r="AB58" s="366"/>
      <c r="AC58" s="365">
        <f>ABS(INDEX(AC:AC,MATCH(AC52,$S:$S,0)+14)+INDEX(AC:AC,MATCH(AC52,$S:$S,0)+15)+INDEX(AC:AC,MATCH(AC52,$S:$S,0)+16))</f>
        <v>177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1"/>
        <v/>
      </c>
      <c r="D59" s="343">
        <f>IF(U59=1505,"",U59)</f>
        <v>709</v>
      </c>
      <c r="E59" s="343" t="str">
        <f>IF(V59=0,"",V59)</f>
        <v/>
      </c>
      <c r="F59" s="343">
        <f>IF(W59=1505,"",W59)</f>
        <v>678</v>
      </c>
      <c r="G59" s="343" t="str">
        <f>IF(X59=0,"",X59)</f>
        <v/>
      </c>
      <c r="H59" s="343">
        <f>IF(Y59=1505,"",Y59)</f>
        <v>689</v>
      </c>
      <c r="I59" s="343" t="str">
        <f>IF(Z59=0,"",Z59)</f>
        <v/>
      </c>
      <c r="J59" s="343">
        <f>IF(AA59=1505,"",AA59)</f>
        <v>715</v>
      </c>
      <c r="K59" s="343" t="str">
        <f>IF(AB59=0,"",AB59)</f>
        <v/>
      </c>
      <c r="L59" s="343">
        <f>IF(AC59=1505,"",AC59)</f>
        <v>723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709</v>
      </c>
      <c r="V59" s="360"/>
      <c r="W59" s="359">
        <f>SUM(W55:W58)</f>
        <v>678</v>
      </c>
      <c r="X59" s="360"/>
      <c r="Y59" s="359">
        <f>SUM(Y55:Y58)</f>
        <v>689</v>
      </c>
      <c r="Z59" s="360"/>
      <c r="AA59" s="359">
        <f>SUM(AA55:AA58)</f>
        <v>715</v>
      </c>
      <c r="AB59" s="360"/>
      <c r="AC59" s="359">
        <f>SUM(AC55:AC58)</f>
        <v>723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 t="str">
        <f>AD61</f>
        <v>16.02.</v>
      </c>
      <c r="N61" s="376"/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Schlüssel!$BA$1</f>
        <v>16.02.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">
        <v>1786</v>
      </c>
      <c r="E62" s="84" t="str">
        <f>V62</f>
        <v>Nürnberg West Bowling</v>
      </c>
      <c r="F62" s="77"/>
      <c r="G62" s="77"/>
      <c r="H62" s="77"/>
      <c r="I62" s="77"/>
      <c r="J62" s="77"/>
      <c r="K62" s="77" t="str">
        <f>AC62</f>
        <v>Spieltag:</v>
      </c>
      <c r="L62" s="29"/>
      <c r="M62" s="86">
        <f>AD62</f>
        <v>3</v>
      </c>
      <c r="N62" s="28"/>
      <c r="R62" s="49"/>
      <c r="S62" s="50">
        <v>3</v>
      </c>
      <c r="U62" s="30" t="s">
        <v>1786</v>
      </c>
      <c r="V62" s="84" t="str">
        <f>Schlüssel!$AQ$2</f>
        <v>Nürnberg West Bowling</v>
      </c>
      <c r="X62" s="77"/>
      <c r="Y62" s="77"/>
      <c r="Z62" s="77"/>
      <c r="AA62" s="77"/>
      <c r="AB62" s="77"/>
      <c r="AC62" s="29" t="s">
        <v>1784</v>
      </c>
      <c r="AD62" s="34">
        <v>3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VLOOKUP(S62,Schlüssel!$A$5:$DZ$10,53)</f>
        <v>14</v>
      </c>
      <c r="W64" s="193" t="s">
        <v>10</v>
      </c>
      <c r="X64" s="191">
        <f>VLOOKUP(S62,Schlüssel!$A$5:$DZ$10,54)</f>
        <v>11</v>
      </c>
      <c r="Y64" s="193" t="s">
        <v>10</v>
      </c>
      <c r="Z64" s="191">
        <f>VLOOKUP(S62,Schlüssel!$A$5:$DZ$10,55)</f>
        <v>13</v>
      </c>
      <c r="AA64" s="193" t="s">
        <v>10</v>
      </c>
      <c r="AB64" s="191">
        <f>VLOOKUP(S62,Schlüssel!$A$5:$DZ$10,56)</f>
        <v>16</v>
      </c>
      <c r="AC64" s="193" t="s">
        <v>10</v>
      </c>
      <c r="AD64" s="192">
        <f>VLOOKUP(S62,Schlüssel!$A$5:$DZ$10,57)</f>
        <v>11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>Wallner, Harald</v>
      </c>
      <c r="C67" s="18">
        <f>IF(T67=0,"",T67)</f>
        <v>7128</v>
      </c>
      <c r="D67" s="14">
        <f>IF(U67=0,"",U67)</f>
        <v>135</v>
      </c>
      <c r="E67" s="352">
        <f>IF(V67="","",V67)</f>
        <v>0</v>
      </c>
      <c r="F67" s="14">
        <f t="shared" ref="F67:F80" si="52">IF(W67=0,"",W67)</f>
        <v>181</v>
      </c>
      <c r="G67" s="352">
        <f>IF(X67="","",X67)</f>
        <v>1</v>
      </c>
      <c r="H67" s="14">
        <f t="shared" ref="H67:H80" si="53">IF(Y67=0,"",Y67)</f>
        <v>188</v>
      </c>
      <c r="I67" s="352">
        <f>IF(Z67="","",Z67)</f>
        <v>1</v>
      </c>
      <c r="J67" s="14">
        <f t="shared" ref="J67:J80" si="54">IF(AA67=0,"",AA67)</f>
        <v>149</v>
      </c>
      <c r="K67" s="352">
        <f>IF(AB67="","",AB67)</f>
        <v>1</v>
      </c>
      <c r="L67" s="14">
        <f t="shared" ref="L67:L80" si="55">IF(AC67=0,"",AC67)</f>
        <v>145</v>
      </c>
      <c r="M67" s="352">
        <f>IF(AD67="","",AD67)</f>
        <v>1</v>
      </c>
      <c r="N67" s="14">
        <f t="shared" ref="N67:N80" si="56">IF(AE67=0,"",AE67)</f>
        <v>798</v>
      </c>
      <c r="O67" s="352">
        <f>IF(AF67="","",AF67)</f>
        <v>4</v>
      </c>
      <c r="R67" s="355" t="s">
        <v>0</v>
      </c>
      <c r="S67" s="68" t="str">
        <f>IF(T67=0,"",VLOOKUP(T67,Starter!$A$1:$D$196,2,FALSE))</f>
        <v>Wallner, Harald</v>
      </c>
      <c r="T67" s="175">
        <v>7128</v>
      </c>
      <c r="U67" s="183">
        <v>135</v>
      </c>
      <c r="V67" s="95">
        <f>IF(SUM(U67:U69)+U85=0,0,IF(ABS(SUM(U67:U69))=U85,0.5,IF(ABS(SUM(U67:U69))&gt;U85,1,0)))</f>
        <v>0</v>
      </c>
      <c r="W67" s="183">
        <v>181</v>
      </c>
      <c r="X67" s="95">
        <f>IF(SUM(W67:W69)+W85=0,0,IF(ABS(SUM(W67:W69))=W85,0.5,IF(ABS(SUM(W67:W69))&gt;W85,1,0)))</f>
        <v>1</v>
      </c>
      <c r="Y67" s="183">
        <v>188</v>
      </c>
      <c r="Z67" s="95">
        <f>IF(SUM(Y67:Y69)+Y85=0,0,IF(ABS(SUM(Y67:Y69))=Y85,0.5,IF(ABS(SUM(Y67:Y69))&gt;Y85,1,0)))</f>
        <v>1</v>
      </c>
      <c r="AA67" s="189">
        <v>149</v>
      </c>
      <c r="AB67" s="95">
        <f>IF(SUM(AA67:AA69)+AA85=0,0,IF(ABS(SUM(AA67:AA69))=AA85,0.5,IF(ABS(SUM(AA67:AA69))&gt;AA85,1,0)))</f>
        <v>1</v>
      </c>
      <c r="AC67" s="183">
        <v>145</v>
      </c>
      <c r="AD67" s="95">
        <f>IF(SUM(AC67:AC69)+AC85=0,0,IF(ABS(SUM(AC67:AC69))=AC85,0.5,IF(ABS(SUM(AC67:AC69))&gt;AC85,1,0)))</f>
        <v>1</v>
      </c>
      <c r="AE67" s="195">
        <f t="shared" ref="AE67:AE78" si="57">ABS(SUM(U67:U67))+ABS(SUM(W67:W67))+ABS(SUM(Y67:Y67))+ABS(SUM(AA67:AA67))+ABS(SUM(AC67:AC67))</f>
        <v>798</v>
      </c>
      <c r="AF67" s="180">
        <f>SUM(V67+X67+Z67+AB67+AD67)</f>
        <v>4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58">T67</f>
        <v>7128</v>
      </c>
      <c r="BE67" s="213">
        <f t="shared" ref="BE67:BE78" si="59">AE67</f>
        <v>798</v>
      </c>
      <c r="BF67" s="215">
        <f t="shared" ref="BF67:BF78" si="60">COUNT(BH67:BL67)</f>
        <v>5</v>
      </c>
      <c r="BG67" s="215">
        <f t="shared" ref="BG67:BG78" si="61">COUNTIF(BH67:BL67,"&gt;0")</f>
        <v>5</v>
      </c>
      <c r="BH67" s="215">
        <f t="shared" ref="BH67:BH78" si="62">IF(U67=0,"",U67)</f>
        <v>135</v>
      </c>
      <c r="BI67" s="215">
        <f t="shared" ref="BI67:BI78" si="63">IF(W67=0,"",W67)</f>
        <v>181</v>
      </c>
      <c r="BJ67" s="215">
        <f t="shared" ref="BJ67:BJ78" si="64">IF(Y67=0,"",Y67)</f>
        <v>188</v>
      </c>
      <c r="BK67" s="215">
        <f t="shared" ref="BK67:BK78" si="65">IF(AA67=0,"",AA67)</f>
        <v>149</v>
      </c>
      <c r="BL67" s="215">
        <f t="shared" ref="BL67:BL78" si="66">IF(AC67=0,"",AC67)</f>
        <v>145</v>
      </c>
      <c r="BM67" s="216"/>
      <c r="BN67" s="214"/>
      <c r="BO67" s="215">
        <f t="shared" ref="BO67:BO78" si="67">MAX(BH67:BL67)</f>
        <v>188</v>
      </c>
      <c r="BP67" s="215">
        <f t="shared" ref="BP67:BP78" si="68">IF(BO67&lt;MAX(BO:BO),0,BO67+ROW()/1000000000)</f>
        <v>0</v>
      </c>
      <c r="BQ67" s="215" t="str">
        <f>+S63</f>
        <v>Kings Club Bayreuth Land 2</v>
      </c>
      <c r="BR67" s="214">
        <f t="shared" ref="BR67:BR78" si="69">RANK(BP67,BP:BP)</f>
        <v>2</v>
      </c>
      <c r="BS67" s="215">
        <f t="shared" ref="BS67:BS78" si="70">SUMIF(BH67:BL67,"&gt;0")</f>
        <v>798</v>
      </c>
      <c r="BT67" s="215">
        <f>IF(COUNTIF(BH67:BL67,"&gt;0")&lt;Spielorte!$A$23,0,BE67/Spielorte!$A$23)</f>
        <v>159.6</v>
      </c>
      <c r="BU67" s="215">
        <f t="shared" ref="BU67:BU78" si="71">IF(BT67&lt;MAX(BT:BT),0,BT67+ROW()/1000000000)</f>
        <v>0</v>
      </c>
      <c r="BV67" s="214">
        <f t="shared" ref="BV67:BV78" si="72">IF(BU67=0,0,RANK(BU67,BU:BU))</f>
        <v>0</v>
      </c>
    </row>
    <row r="68" spans="1:74" ht="17.100000000000001" customHeight="1" x14ac:dyDescent="0.2">
      <c r="A68" s="374"/>
      <c r="B68" s="19" t="str">
        <f t="shared" ref="B68:D80" si="73">IF(S68=0,"",S68)</f>
        <v/>
      </c>
      <c r="C68" s="20" t="str">
        <f t="shared" si="73"/>
        <v/>
      </c>
      <c r="D68" s="15" t="str">
        <f t="shared" si="73"/>
        <v/>
      </c>
      <c r="E68" s="353"/>
      <c r="F68" s="15" t="str">
        <f t="shared" si="52"/>
        <v/>
      </c>
      <c r="G68" s="353"/>
      <c r="H68" s="15" t="str">
        <f t="shared" si="53"/>
        <v/>
      </c>
      <c r="I68" s="353"/>
      <c r="J68" s="15" t="str">
        <f t="shared" si="54"/>
        <v/>
      </c>
      <c r="K68" s="353"/>
      <c r="L68" s="15" t="str">
        <f t="shared" si="55"/>
        <v/>
      </c>
      <c r="M68" s="353"/>
      <c r="N68" s="15" t="str">
        <f t="shared" si="56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7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58"/>
        <v>0</v>
      </c>
      <c r="BE68" s="213">
        <f t="shared" si="59"/>
        <v>0</v>
      </c>
      <c r="BF68" s="215">
        <f t="shared" si="60"/>
        <v>0</v>
      </c>
      <c r="BG68" s="215">
        <f t="shared" si="61"/>
        <v>0</v>
      </c>
      <c r="BH68" s="215" t="str">
        <f t="shared" si="62"/>
        <v/>
      </c>
      <c r="BI68" s="215" t="str">
        <f t="shared" si="63"/>
        <v/>
      </c>
      <c r="BJ68" s="215" t="str">
        <f t="shared" si="64"/>
        <v/>
      </c>
      <c r="BK68" s="215" t="str">
        <f t="shared" si="65"/>
        <v/>
      </c>
      <c r="BL68" s="215" t="str">
        <f t="shared" si="66"/>
        <v/>
      </c>
      <c r="BM68" s="216"/>
      <c r="BN68" s="214"/>
      <c r="BO68" s="215">
        <f t="shared" si="67"/>
        <v>0</v>
      </c>
      <c r="BP68" s="215">
        <f t="shared" si="68"/>
        <v>0</v>
      </c>
      <c r="BQ68" s="215" t="str">
        <f t="shared" ref="BQ68:BQ78" si="74">+BQ67</f>
        <v>Kings Club Bayreuth Land 2</v>
      </c>
      <c r="BR68" s="214">
        <f t="shared" si="69"/>
        <v>2</v>
      </c>
      <c r="BS68" s="215">
        <f t="shared" si="70"/>
        <v>0</v>
      </c>
      <c r="BT68" s="215">
        <f>IF(COUNTIF(BH68:BL68,"&gt;0")&lt;Spielorte!$A$23,0,BE68/Spielorte!$A$23)</f>
        <v>0</v>
      </c>
      <c r="BU68" s="215">
        <f t="shared" si="71"/>
        <v>0</v>
      </c>
      <c r="BV68" s="214">
        <f t="shared" si="72"/>
        <v>0</v>
      </c>
    </row>
    <row r="69" spans="1:74" ht="17.100000000000001" customHeight="1" thickBot="1" x14ac:dyDescent="0.25">
      <c r="A69" s="375"/>
      <c r="B69" s="21" t="str">
        <f t="shared" si="73"/>
        <v/>
      </c>
      <c r="C69" s="22" t="str">
        <f t="shared" si="73"/>
        <v/>
      </c>
      <c r="D69" s="9" t="str">
        <f t="shared" si="73"/>
        <v/>
      </c>
      <c r="E69" s="354"/>
      <c r="F69" s="9" t="str">
        <f t="shared" si="52"/>
        <v/>
      </c>
      <c r="G69" s="354"/>
      <c r="H69" s="9" t="str">
        <f t="shared" si="53"/>
        <v/>
      </c>
      <c r="I69" s="354"/>
      <c r="J69" s="9" t="str">
        <f t="shared" si="54"/>
        <v/>
      </c>
      <c r="K69" s="354"/>
      <c r="L69" s="9" t="str">
        <f t="shared" si="55"/>
        <v/>
      </c>
      <c r="M69" s="354"/>
      <c r="N69" s="9" t="str">
        <f t="shared" si="56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7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58"/>
        <v>0</v>
      </c>
      <c r="BE69" s="213">
        <f t="shared" si="59"/>
        <v>0</v>
      </c>
      <c r="BF69" s="215">
        <f t="shared" si="60"/>
        <v>0</v>
      </c>
      <c r="BG69" s="215">
        <f t="shared" si="61"/>
        <v>0</v>
      </c>
      <c r="BH69" s="215" t="str">
        <f t="shared" si="62"/>
        <v/>
      </c>
      <c r="BI69" s="215" t="str">
        <f t="shared" si="63"/>
        <v/>
      </c>
      <c r="BJ69" s="215" t="str">
        <f t="shared" si="64"/>
        <v/>
      </c>
      <c r="BK69" s="215" t="str">
        <f t="shared" si="65"/>
        <v/>
      </c>
      <c r="BL69" s="215" t="str">
        <f t="shared" si="66"/>
        <v/>
      </c>
      <c r="BM69" s="216"/>
      <c r="BN69" s="214"/>
      <c r="BO69" s="215">
        <f t="shared" si="67"/>
        <v>0</v>
      </c>
      <c r="BP69" s="215">
        <f t="shared" si="68"/>
        <v>0</v>
      </c>
      <c r="BQ69" s="215" t="str">
        <f t="shared" si="74"/>
        <v>Kings Club Bayreuth Land 2</v>
      </c>
      <c r="BR69" s="214">
        <f t="shared" si="69"/>
        <v>2</v>
      </c>
      <c r="BS69" s="215">
        <f t="shared" si="70"/>
        <v>0</v>
      </c>
      <c r="BT69" s="215">
        <f>IF(COUNTIF(BH69:BL69,"&gt;0")&lt;Spielorte!$A$23,0,BE69/Spielorte!$A$23)</f>
        <v>0</v>
      </c>
      <c r="BU69" s="215">
        <f t="shared" si="71"/>
        <v>0</v>
      </c>
      <c r="BV69" s="214">
        <f t="shared" si="72"/>
        <v>0</v>
      </c>
    </row>
    <row r="70" spans="1:74" ht="17.100000000000001" customHeight="1" x14ac:dyDescent="0.2">
      <c r="A70" s="373" t="s">
        <v>2</v>
      </c>
      <c r="B70" s="17" t="str">
        <f t="shared" si="73"/>
        <v>Reichert, Roland</v>
      </c>
      <c r="C70" s="18">
        <f t="shared" si="73"/>
        <v>7123</v>
      </c>
      <c r="D70" s="14">
        <f t="shared" si="73"/>
        <v>150</v>
      </c>
      <c r="E70" s="352">
        <f>IF(V70="","",V70)</f>
        <v>1</v>
      </c>
      <c r="F70" s="14">
        <f t="shared" si="52"/>
        <v>159</v>
      </c>
      <c r="G70" s="352">
        <f>IF(X70="","",X70)</f>
        <v>1</v>
      </c>
      <c r="H70" s="14">
        <f t="shared" si="53"/>
        <v>145</v>
      </c>
      <c r="I70" s="352">
        <f>IF(Z70="","",Z70)</f>
        <v>0</v>
      </c>
      <c r="J70" s="14">
        <f t="shared" si="54"/>
        <v>151</v>
      </c>
      <c r="K70" s="352">
        <f>IF(AB70="","",AB70)</f>
        <v>0</v>
      </c>
      <c r="L70" s="14">
        <f t="shared" si="55"/>
        <v>149</v>
      </c>
      <c r="M70" s="352">
        <f>IF(AD70="","",AD70)</f>
        <v>0</v>
      </c>
      <c r="N70" s="14">
        <f t="shared" si="56"/>
        <v>754</v>
      </c>
      <c r="O70" s="352">
        <f>IF(AF70="","",AF70)</f>
        <v>2</v>
      </c>
      <c r="R70" s="355" t="s">
        <v>2</v>
      </c>
      <c r="S70" s="68" t="str">
        <f>IF(T70=0,"",VLOOKUP(T70,Starter!$A$1:$D$196,2,FALSE))</f>
        <v>Reichert, Roland</v>
      </c>
      <c r="T70" s="178">
        <v>7123</v>
      </c>
      <c r="U70" s="186">
        <v>150</v>
      </c>
      <c r="V70" s="95">
        <f>IF(SUM(U70:U72)+U86=0,0,IF(ABS(SUM(U70:U72))=U86,0.5,IF(ABS(SUM(U70:U72))&gt;U86,1,0)))</f>
        <v>1</v>
      </c>
      <c r="W70" s="186">
        <v>159</v>
      </c>
      <c r="X70" s="95">
        <f>IF(SUM(W70:W72)+W86=0,0,IF(ABS(SUM(W70:W72))=W86,0.5,IF(ABS(SUM(W70:W72))&gt;W86,1,0)))</f>
        <v>1</v>
      </c>
      <c r="Y70" s="186">
        <v>145</v>
      </c>
      <c r="Z70" s="95">
        <f>IF(SUM(Y70:Y72)+Y86=0,0,IF(ABS(SUM(Y70:Y72))=Y86,0.5,IF(ABS(SUM(Y70:Y72))&gt;Y86,1,0)))</f>
        <v>0</v>
      </c>
      <c r="AA70" s="186">
        <v>151</v>
      </c>
      <c r="AB70" s="95">
        <f>IF(SUM(AA70:AA72)+AA86=0,0,IF(ABS(SUM(AA70:AA72))=AA86,0.5,IF(ABS(SUM(AA70:AA72))&gt;AA86,1,0)))</f>
        <v>0</v>
      </c>
      <c r="AC70" s="186">
        <v>149</v>
      </c>
      <c r="AD70" s="95">
        <f>IF(SUM(AC70:AC72)+AC86=0,0,IF(ABS(SUM(AC70:AC72))=AC86,0.5,IF(ABS(SUM(AC70:AC72))&gt;AC86,1,0)))</f>
        <v>0</v>
      </c>
      <c r="AE70" s="195">
        <f t="shared" si="57"/>
        <v>754</v>
      </c>
      <c r="AF70" s="180">
        <f>SUM(V70+X70+Z70+AB70+AD70)</f>
        <v>2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58"/>
        <v>7123</v>
      </c>
      <c r="BE70" s="213">
        <f t="shared" si="59"/>
        <v>754</v>
      </c>
      <c r="BF70" s="215">
        <f t="shared" si="60"/>
        <v>5</v>
      </c>
      <c r="BG70" s="215">
        <f t="shared" si="61"/>
        <v>5</v>
      </c>
      <c r="BH70" s="215">
        <f t="shared" si="62"/>
        <v>150</v>
      </c>
      <c r="BI70" s="215">
        <f t="shared" si="63"/>
        <v>159</v>
      </c>
      <c r="BJ70" s="215">
        <f t="shared" si="64"/>
        <v>145</v>
      </c>
      <c r="BK70" s="215">
        <f t="shared" si="65"/>
        <v>151</v>
      </c>
      <c r="BL70" s="215">
        <f t="shared" si="66"/>
        <v>149</v>
      </c>
      <c r="BM70" s="216"/>
      <c r="BN70" s="214"/>
      <c r="BO70" s="215">
        <f t="shared" si="67"/>
        <v>159</v>
      </c>
      <c r="BP70" s="215">
        <f t="shared" si="68"/>
        <v>0</v>
      </c>
      <c r="BQ70" s="215" t="str">
        <f t="shared" si="74"/>
        <v>Kings Club Bayreuth Land 2</v>
      </c>
      <c r="BR70" s="214">
        <f t="shared" si="69"/>
        <v>2</v>
      </c>
      <c r="BS70" s="215">
        <f t="shared" si="70"/>
        <v>754</v>
      </c>
      <c r="BT70" s="215">
        <f>IF(COUNTIF(BH70:BL70,"&gt;0")&lt;Spielorte!$A$23,0,BE70/Spielorte!$A$23)</f>
        <v>150.80000000000001</v>
      </c>
      <c r="BU70" s="215">
        <f t="shared" si="71"/>
        <v>0</v>
      </c>
      <c r="BV70" s="214">
        <f t="shared" si="72"/>
        <v>0</v>
      </c>
    </row>
    <row r="71" spans="1:74" ht="17.100000000000001" customHeight="1" x14ac:dyDescent="0.2">
      <c r="A71" s="374"/>
      <c r="B71" s="19" t="str">
        <f t="shared" si="73"/>
        <v/>
      </c>
      <c r="C71" s="20" t="str">
        <f t="shared" si="73"/>
        <v/>
      </c>
      <c r="D71" s="15" t="str">
        <f t="shared" si="73"/>
        <v/>
      </c>
      <c r="E71" s="353"/>
      <c r="F71" s="15" t="str">
        <f t="shared" si="52"/>
        <v/>
      </c>
      <c r="G71" s="353"/>
      <c r="H71" s="15" t="str">
        <f t="shared" si="53"/>
        <v/>
      </c>
      <c r="I71" s="353"/>
      <c r="J71" s="15" t="str">
        <f t="shared" si="54"/>
        <v/>
      </c>
      <c r="K71" s="353"/>
      <c r="L71" s="15" t="str">
        <f t="shared" si="55"/>
        <v/>
      </c>
      <c r="M71" s="353"/>
      <c r="N71" s="15" t="str">
        <f t="shared" si="56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7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58"/>
        <v>0</v>
      </c>
      <c r="BE71" s="213">
        <f t="shared" si="59"/>
        <v>0</v>
      </c>
      <c r="BF71" s="215">
        <f t="shared" si="60"/>
        <v>0</v>
      </c>
      <c r="BG71" s="215">
        <f t="shared" si="61"/>
        <v>0</v>
      </c>
      <c r="BH71" s="215" t="str">
        <f t="shared" si="62"/>
        <v/>
      </c>
      <c r="BI71" s="215" t="str">
        <f t="shared" si="63"/>
        <v/>
      </c>
      <c r="BJ71" s="215" t="str">
        <f t="shared" si="64"/>
        <v/>
      </c>
      <c r="BK71" s="215" t="str">
        <f t="shared" si="65"/>
        <v/>
      </c>
      <c r="BL71" s="215" t="str">
        <f t="shared" si="66"/>
        <v/>
      </c>
      <c r="BM71" s="216"/>
      <c r="BN71" s="214"/>
      <c r="BO71" s="215">
        <f t="shared" si="67"/>
        <v>0</v>
      </c>
      <c r="BP71" s="215">
        <f t="shared" si="68"/>
        <v>0</v>
      </c>
      <c r="BQ71" s="215" t="str">
        <f t="shared" si="74"/>
        <v>Kings Club Bayreuth Land 2</v>
      </c>
      <c r="BR71" s="214">
        <f t="shared" si="69"/>
        <v>2</v>
      </c>
      <c r="BS71" s="215">
        <f t="shared" si="70"/>
        <v>0</v>
      </c>
      <c r="BT71" s="215">
        <f>IF(COUNTIF(BH71:BL71,"&gt;0")&lt;Spielorte!$A$23,0,BE71/Spielorte!$A$23)</f>
        <v>0</v>
      </c>
      <c r="BU71" s="215">
        <f t="shared" si="71"/>
        <v>0</v>
      </c>
      <c r="BV71" s="214">
        <f t="shared" si="72"/>
        <v>0</v>
      </c>
    </row>
    <row r="72" spans="1:74" ht="17.100000000000001" customHeight="1" thickBot="1" x14ac:dyDescent="0.25">
      <c r="A72" s="375"/>
      <c r="B72" s="21" t="str">
        <f t="shared" si="73"/>
        <v/>
      </c>
      <c r="C72" s="22" t="str">
        <f t="shared" si="73"/>
        <v/>
      </c>
      <c r="D72" s="9" t="str">
        <f t="shared" si="73"/>
        <v/>
      </c>
      <c r="E72" s="354"/>
      <c r="F72" s="9" t="str">
        <f t="shared" si="52"/>
        <v/>
      </c>
      <c r="G72" s="354"/>
      <c r="H72" s="9" t="str">
        <f t="shared" si="53"/>
        <v/>
      </c>
      <c r="I72" s="354"/>
      <c r="J72" s="9" t="str">
        <f t="shared" si="54"/>
        <v/>
      </c>
      <c r="K72" s="354"/>
      <c r="L72" s="9" t="str">
        <f t="shared" si="55"/>
        <v/>
      </c>
      <c r="M72" s="354"/>
      <c r="N72" s="9" t="str">
        <f t="shared" si="56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7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58"/>
        <v>0</v>
      </c>
      <c r="BE72" s="213">
        <f t="shared" si="59"/>
        <v>0</v>
      </c>
      <c r="BF72" s="215">
        <f t="shared" si="60"/>
        <v>0</v>
      </c>
      <c r="BG72" s="215">
        <f t="shared" si="61"/>
        <v>0</v>
      </c>
      <c r="BH72" s="215" t="str">
        <f t="shared" si="62"/>
        <v/>
      </c>
      <c r="BI72" s="215" t="str">
        <f t="shared" si="63"/>
        <v/>
      </c>
      <c r="BJ72" s="215" t="str">
        <f t="shared" si="64"/>
        <v/>
      </c>
      <c r="BK72" s="215" t="str">
        <f t="shared" si="65"/>
        <v/>
      </c>
      <c r="BL72" s="215" t="str">
        <f t="shared" si="66"/>
        <v/>
      </c>
      <c r="BM72" s="216"/>
      <c r="BN72" s="214"/>
      <c r="BO72" s="215">
        <f t="shared" si="67"/>
        <v>0</v>
      </c>
      <c r="BP72" s="215">
        <f t="shared" si="68"/>
        <v>0</v>
      </c>
      <c r="BQ72" s="215" t="str">
        <f t="shared" si="74"/>
        <v>Kings Club Bayreuth Land 2</v>
      </c>
      <c r="BR72" s="214">
        <f t="shared" si="69"/>
        <v>2</v>
      </c>
      <c r="BS72" s="215">
        <f t="shared" si="70"/>
        <v>0</v>
      </c>
      <c r="BT72" s="215">
        <f>IF(COUNTIF(BH72:BL72,"&gt;0")&lt;Spielorte!$A$23,0,BE72/Spielorte!$A$23)</f>
        <v>0</v>
      </c>
      <c r="BU72" s="215">
        <f t="shared" si="71"/>
        <v>0</v>
      </c>
      <c r="BV72" s="214">
        <f t="shared" si="72"/>
        <v>0</v>
      </c>
    </row>
    <row r="73" spans="1:74" ht="17.100000000000001" customHeight="1" x14ac:dyDescent="0.2">
      <c r="A73" s="373" t="s">
        <v>3</v>
      </c>
      <c r="B73" s="17" t="str">
        <f t="shared" si="73"/>
        <v>Katholing, Jürgen</v>
      </c>
      <c r="C73" s="18">
        <f t="shared" si="73"/>
        <v>38661</v>
      </c>
      <c r="D73" s="14">
        <f t="shared" si="73"/>
        <v>150</v>
      </c>
      <c r="E73" s="352">
        <f>IF(V73="","",V73)</f>
        <v>0</v>
      </c>
      <c r="F73" s="14">
        <f t="shared" si="52"/>
        <v>170</v>
      </c>
      <c r="G73" s="352">
        <f>IF(X73="","",X73)</f>
        <v>1</v>
      </c>
      <c r="H73" s="14">
        <f t="shared" si="53"/>
        <v>175</v>
      </c>
      <c r="I73" s="352">
        <f>IF(Z73="","",Z73)</f>
        <v>1</v>
      </c>
      <c r="J73" s="14">
        <f t="shared" si="54"/>
        <v>136</v>
      </c>
      <c r="K73" s="352">
        <f>IF(AB73="","",AB73)</f>
        <v>0</v>
      </c>
      <c r="L73" s="14">
        <f t="shared" si="55"/>
        <v>176</v>
      </c>
      <c r="M73" s="352">
        <f>IF(AD73="","",AD73)</f>
        <v>0</v>
      </c>
      <c r="N73" s="14">
        <f t="shared" si="56"/>
        <v>807</v>
      </c>
      <c r="O73" s="352">
        <f>IF(AF73="","",AF73)</f>
        <v>2</v>
      </c>
      <c r="R73" s="355" t="s">
        <v>3</v>
      </c>
      <c r="S73" s="68" t="str">
        <f>IF(T73=0,"",VLOOKUP(T73,Starter!$A$1:$D$196,2,FALSE))</f>
        <v>Katholing, Jürgen</v>
      </c>
      <c r="T73" s="178">
        <v>38661</v>
      </c>
      <c r="U73" s="186">
        <v>150</v>
      </c>
      <c r="V73" s="95">
        <f>IF(SUM(U73:U75)+U87=0,0,IF(ABS(SUM(U73:U75))=U87,0.5,IF(ABS(SUM(U73:U75))&gt;U87,1,0)))</f>
        <v>0</v>
      </c>
      <c r="W73" s="186">
        <v>170</v>
      </c>
      <c r="X73" s="95">
        <f>IF(SUM(W73:W75)+W87=0,0,IF(ABS(SUM(W73:W75))=W87,0.5,IF(ABS(SUM(W73:W75))&gt;W87,1,0)))</f>
        <v>1</v>
      </c>
      <c r="Y73" s="186">
        <v>175</v>
      </c>
      <c r="Z73" s="95">
        <f>IF(SUM(Y73:Y75)+Y87=0,0,IF(ABS(SUM(Y73:Y75))=Y87,0.5,IF(ABS(SUM(Y73:Y75))&gt;Y87,1,0)))</f>
        <v>1</v>
      </c>
      <c r="AA73" s="186">
        <v>136</v>
      </c>
      <c r="AB73" s="95">
        <f>IF(SUM(AA73:AA75)+AA87=0,0,IF(ABS(SUM(AA73:AA75))=AA87,0.5,IF(ABS(SUM(AA73:AA75))&gt;AA87,1,0)))</f>
        <v>0</v>
      </c>
      <c r="AC73" s="186">
        <v>176</v>
      </c>
      <c r="AD73" s="95">
        <f>IF(SUM(AC73:AC75)+AC87=0,0,IF(ABS(SUM(AC73:AC75))=AC87,0.5,IF(ABS(SUM(AC73:AC75))&gt;AC87,1,0)))</f>
        <v>0</v>
      </c>
      <c r="AE73" s="195">
        <f t="shared" si="57"/>
        <v>807</v>
      </c>
      <c r="AF73" s="180">
        <f>SUM(V73+X73+Z73+AB73+AD73)</f>
        <v>2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58"/>
        <v>38661</v>
      </c>
      <c r="BE73" s="213">
        <f t="shared" si="59"/>
        <v>807</v>
      </c>
      <c r="BF73" s="215">
        <f t="shared" si="60"/>
        <v>5</v>
      </c>
      <c r="BG73" s="215">
        <f t="shared" si="61"/>
        <v>5</v>
      </c>
      <c r="BH73" s="215">
        <f t="shared" si="62"/>
        <v>150</v>
      </c>
      <c r="BI73" s="215">
        <f t="shared" si="63"/>
        <v>170</v>
      </c>
      <c r="BJ73" s="215">
        <f t="shared" si="64"/>
        <v>175</v>
      </c>
      <c r="BK73" s="215">
        <f t="shared" si="65"/>
        <v>136</v>
      </c>
      <c r="BL73" s="215">
        <f t="shared" si="66"/>
        <v>176</v>
      </c>
      <c r="BM73" s="216"/>
      <c r="BN73" s="214"/>
      <c r="BO73" s="215">
        <f t="shared" si="67"/>
        <v>176</v>
      </c>
      <c r="BP73" s="215">
        <f t="shared" si="68"/>
        <v>0</v>
      </c>
      <c r="BQ73" s="215" t="str">
        <f t="shared" si="74"/>
        <v>Kings Club Bayreuth Land 2</v>
      </c>
      <c r="BR73" s="214">
        <f t="shared" si="69"/>
        <v>2</v>
      </c>
      <c r="BS73" s="215">
        <f t="shared" si="70"/>
        <v>807</v>
      </c>
      <c r="BT73" s="215">
        <f>IF(COUNTIF(BH73:BL73,"&gt;0")&lt;Spielorte!$A$23,0,BE73/Spielorte!$A$23)</f>
        <v>161.4</v>
      </c>
      <c r="BU73" s="215">
        <f t="shared" si="71"/>
        <v>0</v>
      </c>
      <c r="BV73" s="214">
        <f t="shared" si="72"/>
        <v>0</v>
      </c>
    </row>
    <row r="74" spans="1:74" ht="17.100000000000001" customHeight="1" x14ac:dyDescent="0.2">
      <c r="A74" s="374"/>
      <c r="B74" s="19" t="str">
        <f t="shared" si="73"/>
        <v/>
      </c>
      <c r="C74" s="20" t="str">
        <f t="shared" si="73"/>
        <v/>
      </c>
      <c r="D74" s="15" t="str">
        <f t="shared" si="73"/>
        <v/>
      </c>
      <c r="E74" s="353"/>
      <c r="F74" s="15" t="str">
        <f t="shared" si="52"/>
        <v/>
      </c>
      <c r="G74" s="353"/>
      <c r="H74" s="15" t="str">
        <f t="shared" si="53"/>
        <v/>
      </c>
      <c r="I74" s="353"/>
      <c r="J74" s="15" t="str">
        <f t="shared" si="54"/>
        <v/>
      </c>
      <c r="K74" s="353"/>
      <c r="L74" s="15" t="str">
        <f t="shared" si="55"/>
        <v/>
      </c>
      <c r="M74" s="353"/>
      <c r="N74" s="15" t="str">
        <f t="shared" si="56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7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58"/>
        <v>0</v>
      </c>
      <c r="BE74" s="213">
        <f t="shared" si="59"/>
        <v>0</v>
      </c>
      <c r="BF74" s="215">
        <f t="shared" si="60"/>
        <v>0</v>
      </c>
      <c r="BG74" s="215">
        <f t="shared" si="61"/>
        <v>0</v>
      </c>
      <c r="BH74" s="215" t="str">
        <f t="shared" si="62"/>
        <v/>
      </c>
      <c r="BI74" s="215" t="str">
        <f t="shared" si="63"/>
        <v/>
      </c>
      <c r="BJ74" s="215" t="str">
        <f t="shared" si="64"/>
        <v/>
      </c>
      <c r="BK74" s="215" t="str">
        <f t="shared" si="65"/>
        <v/>
      </c>
      <c r="BL74" s="215" t="str">
        <f t="shared" si="66"/>
        <v/>
      </c>
      <c r="BM74" s="216"/>
      <c r="BN74" s="214"/>
      <c r="BO74" s="215">
        <f t="shared" si="67"/>
        <v>0</v>
      </c>
      <c r="BP74" s="215">
        <f t="shared" si="68"/>
        <v>0</v>
      </c>
      <c r="BQ74" s="215" t="str">
        <f t="shared" si="74"/>
        <v>Kings Club Bayreuth Land 2</v>
      </c>
      <c r="BR74" s="214">
        <f t="shared" si="69"/>
        <v>2</v>
      </c>
      <c r="BS74" s="215">
        <f t="shared" si="70"/>
        <v>0</v>
      </c>
      <c r="BT74" s="215">
        <f>IF(COUNTIF(BH74:BL74,"&gt;0")&lt;Spielorte!$A$23,0,BE74/Spielorte!$A$23)</f>
        <v>0</v>
      </c>
      <c r="BU74" s="215">
        <f t="shared" si="71"/>
        <v>0</v>
      </c>
      <c r="BV74" s="214">
        <f t="shared" si="72"/>
        <v>0</v>
      </c>
    </row>
    <row r="75" spans="1:74" ht="17.100000000000001" customHeight="1" thickBot="1" x14ac:dyDescent="0.25">
      <c r="A75" s="375"/>
      <c r="B75" s="21" t="str">
        <f t="shared" si="73"/>
        <v/>
      </c>
      <c r="C75" s="22" t="str">
        <f t="shared" si="73"/>
        <v/>
      </c>
      <c r="D75" s="9" t="str">
        <f t="shared" si="73"/>
        <v/>
      </c>
      <c r="E75" s="354"/>
      <c r="F75" s="9" t="str">
        <f t="shared" si="52"/>
        <v/>
      </c>
      <c r="G75" s="354"/>
      <c r="H75" s="9" t="str">
        <f t="shared" si="53"/>
        <v/>
      </c>
      <c r="I75" s="354"/>
      <c r="J75" s="9" t="str">
        <f t="shared" si="54"/>
        <v/>
      </c>
      <c r="K75" s="354"/>
      <c r="L75" s="9" t="str">
        <f t="shared" si="55"/>
        <v/>
      </c>
      <c r="M75" s="354"/>
      <c r="N75" s="9" t="str">
        <f t="shared" si="56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7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58"/>
        <v>0</v>
      </c>
      <c r="BE75" s="213">
        <f t="shared" si="59"/>
        <v>0</v>
      </c>
      <c r="BF75" s="215">
        <f t="shared" si="60"/>
        <v>0</v>
      </c>
      <c r="BG75" s="215">
        <f t="shared" si="61"/>
        <v>0</v>
      </c>
      <c r="BH75" s="215" t="str">
        <f t="shared" si="62"/>
        <v/>
      </c>
      <c r="BI75" s="215" t="str">
        <f t="shared" si="63"/>
        <v/>
      </c>
      <c r="BJ75" s="215" t="str">
        <f t="shared" si="64"/>
        <v/>
      </c>
      <c r="BK75" s="215" t="str">
        <f t="shared" si="65"/>
        <v/>
      </c>
      <c r="BL75" s="215" t="str">
        <f t="shared" si="66"/>
        <v/>
      </c>
      <c r="BM75" s="216"/>
      <c r="BN75" s="214"/>
      <c r="BO75" s="215">
        <f t="shared" si="67"/>
        <v>0</v>
      </c>
      <c r="BP75" s="215">
        <f t="shared" si="68"/>
        <v>0</v>
      </c>
      <c r="BQ75" s="215" t="str">
        <f t="shared" si="74"/>
        <v>Kings Club Bayreuth Land 2</v>
      </c>
      <c r="BR75" s="214">
        <f t="shared" si="69"/>
        <v>2</v>
      </c>
      <c r="BS75" s="215">
        <f t="shared" si="70"/>
        <v>0</v>
      </c>
      <c r="BT75" s="215">
        <f>IF(COUNTIF(BH75:BL75,"&gt;0")&lt;Spielorte!$A$23,0,BE75/Spielorte!$A$23)</f>
        <v>0</v>
      </c>
      <c r="BU75" s="215">
        <f t="shared" si="71"/>
        <v>0</v>
      </c>
      <c r="BV75" s="214">
        <f t="shared" si="72"/>
        <v>0</v>
      </c>
    </row>
    <row r="76" spans="1:74" ht="17.100000000000001" customHeight="1" x14ac:dyDescent="0.2">
      <c r="A76" s="373" t="s">
        <v>11</v>
      </c>
      <c r="B76" s="17" t="str">
        <f>IF(S76=0,"",S76)</f>
        <v>Rühr, Wilfried</v>
      </c>
      <c r="C76" s="18">
        <f t="shared" si="73"/>
        <v>7136</v>
      </c>
      <c r="D76" s="14">
        <f t="shared" si="73"/>
        <v>169</v>
      </c>
      <c r="E76" s="352">
        <f>IF(V76="","",V76)</f>
        <v>0</v>
      </c>
      <c r="F76" s="14">
        <f t="shared" si="52"/>
        <v>168</v>
      </c>
      <c r="G76" s="352">
        <f>IF(X76="","",X76)</f>
        <v>1</v>
      </c>
      <c r="H76" s="14">
        <f t="shared" si="53"/>
        <v>144</v>
      </c>
      <c r="I76" s="352">
        <f>IF(Z76="","",Z76)</f>
        <v>0</v>
      </c>
      <c r="J76" s="14">
        <f t="shared" si="54"/>
        <v>137</v>
      </c>
      <c r="K76" s="352">
        <f>IF(AB76="","",AB76)</f>
        <v>1</v>
      </c>
      <c r="L76" s="14">
        <f t="shared" si="55"/>
        <v>160</v>
      </c>
      <c r="M76" s="352">
        <f>IF(AD76="","",AD76)</f>
        <v>1</v>
      </c>
      <c r="N76" s="14">
        <f t="shared" si="56"/>
        <v>778</v>
      </c>
      <c r="O76" s="352">
        <f>IF(AF76="","",AF76)</f>
        <v>3</v>
      </c>
      <c r="R76" s="355" t="s">
        <v>11</v>
      </c>
      <c r="S76" s="68" t="str">
        <f>IF(T76=0,"",VLOOKUP(T76,Starter!$A$1:$D$196,2,FALSE))</f>
        <v>Rühr, Wilfried</v>
      </c>
      <c r="T76" s="178">
        <v>7136</v>
      </c>
      <c r="U76" s="186">
        <v>169</v>
      </c>
      <c r="V76" s="95">
        <f>IF(SUM(U76:U78)+U88=0,0,IF(ABS(SUM(U76:U78))=U88,0.5,IF(ABS(SUM(U76:U78))&gt;U88,1,0)))</f>
        <v>0</v>
      </c>
      <c r="W76" s="186">
        <v>168</v>
      </c>
      <c r="X76" s="95">
        <f>IF(SUM(W76:W78)+W88=0,0,IF(ABS(SUM(W76:W78))=W88,0.5,IF(ABS(SUM(W76:W78))&gt;W88,1,0)))</f>
        <v>1</v>
      </c>
      <c r="Y76" s="186">
        <v>144</v>
      </c>
      <c r="Z76" s="95">
        <f>IF(SUM(Y76:Y78)+Y88=0,0,IF(ABS(SUM(Y76:Y78))=Y88,0.5,IF(ABS(SUM(Y76:Y78))&gt;Y88,1,0)))</f>
        <v>0</v>
      </c>
      <c r="AA76" s="186">
        <v>137</v>
      </c>
      <c r="AB76" s="95">
        <f>IF(SUM(AA76:AA78)+AA88=0,0,IF(ABS(SUM(AA76:AA78))=AA88,0.5,IF(ABS(SUM(AA76:AA78))&gt;AA88,1,0)))</f>
        <v>1</v>
      </c>
      <c r="AC76" s="186">
        <v>160</v>
      </c>
      <c r="AD76" s="95">
        <f>IF(SUM(AC76:AC78)+AC88=0,0,IF(ABS(SUM(AC76:AC78))=AC88,0.5,IF(ABS(SUM(AC76:AC78))&gt;AC88,1,0)))</f>
        <v>1</v>
      </c>
      <c r="AE76" s="195">
        <f t="shared" si="57"/>
        <v>778</v>
      </c>
      <c r="AF76" s="180">
        <f>SUM(V76+X76+Z76+AB76+AD76)</f>
        <v>3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58"/>
        <v>7136</v>
      </c>
      <c r="BE76" s="213">
        <f t="shared" si="59"/>
        <v>778</v>
      </c>
      <c r="BF76" s="215">
        <f t="shared" si="60"/>
        <v>5</v>
      </c>
      <c r="BG76" s="215">
        <f t="shared" si="61"/>
        <v>5</v>
      </c>
      <c r="BH76" s="215">
        <f t="shared" si="62"/>
        <v>169</v>
      </c>
      <c r="BI76" s="215">
        <f t="shared" si="63"/>
        <v>168</v>
      </c>
      <c r="BJ76" s="215">
        <f t="shared" si="64"/>
        <v>144</v>
      </c>
      <c r="BK76" s="215">
        <f t="shared" si="65"/>
        <v>137</v>
      </c>
      <c r="BL76" s="215">
        <f t="shared" si="66"/>
        <v>160</v>
      </c>
      <c r="BM76" s="216"/>
      <c r="BN76" s="214"/>
      <c r="BO76" s="215">
        <f t="shared" si="67"/>
        <v>169</v>
      </c>
      <c r="BP76" s="215">
        <f t="shared" si="68"/>
        <v>0</v>
      </c>
      <c r="BQ76" s="215" t="str">
        <f t="shared" si="74"/>
        <v>Kings Club Bayreuth Land 2</v>
      </c>
      <c r="BR76" s="214">
        <f t="shared" si="69"/>
        <v>2</v>
      </c>
      <c r="BS76" s="215">
        <f t="shared" si="70"/>
        <v>778</v>
      </c>
      <c r="BT76" s="215">
        <f>IF(COUNTIF(BH76:BL76,"&gt;0")&lt;Spielorte!$A$23,0,BE76/Spielorte!$A$23)</f>
        <v>155.6</v>
      </c>
      <c r="BU76" s="215">
        <f t="shared" si="71"/>
        <v>0</v>
      </c>
      <c r="BV76" s="214">
        <f t="shared" si="72"/>
        <v>0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3"/>
        <v/>
      </c>
      <c r="D77" s="15" t="str">
        <f t="shared" si="73"/>
        <v/>
      </c>
      <c r="E77" s="353"/>
      <c r="F77" s="15" t="str">
        <f t="shared" si="52"/>
        <v/>
      </c>
      <c r="G77" s="353"/>
      <c r="H77" s="15" t="str">
        <f t="shared" si="53"/>
        <v/>
      </c>
      <c r="I77" s="353"/>
      <c r="J77" s="15" t="str">
        <f t="shared" si="54"/>
        <v/>
      </c>
      <c r="K77" s="353"/>
      <c r="L77" s="15" t="str">
        <f t="shared" si="55"/>
        <v/>
      </c>
      <c r="M77" s="353"/>
      <c r="N77" s="15" t="str">
        <f t="shared" si="56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7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58"/>
        <v>0</v>
      </c>
      <c r="BE77" s="213">
        <f t="shared" si="59"/>
        <v>0</v>
      </c>
      <c r="BF77" s="215">
        <f t="shared" si="60"/>
        <v>0</v>
      </c>
      <c r="BG77" s="215">
        <f t="shared" si="61"/>
        <v>0</v>
      </c>
      <c r="BH77" s="215" t="str">
        <f t="shared" si="62"/>
        <v/>
      </c>
      <c r="BI77" s="215" t="str">
        <f t="shared" si="63"/>
        <v/>
      </c>
      <c r="BJ77" s="215" t="str">
        <f t="shared" si="64"/>
        <v/>
      </c>
      <c r="BK77" s="215" t="str">
        <f t="shared" si="65"/>
        <v/>
      </c>
      <c r="BL77" s="215" t="str">
        <f t="shared" si="66"/>
        <v/>
      </c>
      <c r="BM77" s="216"/>
      <c r="BN77" s="214"/>
      <c r="BO77" s="215">
        <f t="shared" si="67"/>
        <v>0</v>
      </c>
      <c r="BP77" s="215">
        <f t="shared" si="68"/>
        <v>0</v>
      </c>
      <c r="BQ77" s="215" t="str">
        <f t="shared" si="74"/>
        <v>Kings Club Bayreuth Land 2</v>
      </c>
      <c r="BR77" s="214">
        <f t="shared" si="69"/>
        <v>2</v>
      </c>
      <c r="BS77" s="215">
        <f t="shared" si="70"/>
        <v>0</v>
      </c>
      <c r="BT77" s="215">
        <f>IF(COUNTIF(BH77:BL77,"&gt;0")&lt;Spielorte!$A$23,0,BE77/Spielorte!$A$23)</f>
        <v>0</v>
      </c>
      <c r="BU77" s="215">
        <f t="shared" si="71"/>
        <v>0</v>
      </c>
      <c r="BV77" s="214">
        <f t="shared" si="72"/>
        <v>0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3"/>
        <v/>
      </c>
      <c r="D78" s="9" t="str">
        <f t="shared" si="73"/>
        <v/>
      </c>
      <c r="E78" s="354"/>
      <c r="F78" s="9" t="str">
        <f t="shared" si="52"/>
        <v/>
      </c>
      <c r="G78" s="354"/>
      <c r="H78" s="9" t="str">
        <f t="shared" si="53"/>
        <v/>
      </c>
      <c r="I78" s="354"/>
      <c r="J78" s="9" t="str">
        <f t="shared" si="54"/>
        <v/>
      </c>
      <c r="K78" s="354"/>
      <c r="L78" s="9" t="str">
        <f t="shared" si="55"/>
        <v/>
      </c>
      <c r="M78" s="354"/>
      <c r="N78" s="9" t="str">
        <f t="shared" si="56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7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58"/>
        <v>0</v>
      </c>
      <c r="BE78" s="213">
        <f t="shared" si="59"/>
        <v>0</v>
      </c>
      <c r="BF78" s="215">
        <f t="shared" si="60"/>
        <v>0</v>
      </c>
      <c r="BG78" s="215">
        <f t="shared" si="61"/>
        <v>0</v>
      </c>
      <c r="BH78" s="215" t="str">
        <f t="shared" si="62"/>
        <v/>
      </c>
      <c r="BI78" s="215" t="str">
        <f t="shared" si="63"/>
        <v/>
      </c>
      <c r="BJ78" s="215" t="str">
        <f t="shared" si="64"/>
        <v/>
      </c>
      <c r="BK78" s="215" t="str">
        <f t="shared" si="65"/>
        <v/>
      </c>
      <c r="BL78" s="215" t="str">
        <f t="shared" si="66"/>
        <v/>
      </c>
      <c r="BM78" s="216"/>
      <c r="BN78" s="214"/>
      <c r="BO78" s="215">
        <f t="shared" si="67"/>
        <v>0</v>
      </c>
      <c r="BP78" s="215">
        <f t="shared" si="68"/>
        <v>0</v>
      </c>
      <c r="BQ78" s="215" t="str">
        <f t="shared" si="74"/>
        <v>Kings Club Bayreuth Land 2</v>
      </c>
      <c r="BR78" s="214">
        <f t="shared" si="69"/>
        <v>2</v>
      </c>
      <c r="BS78" s="215">
        <f t="shared" si="70"/>
        <v>0</v>
      </c>
      <c r="BT78" s="215">
        <f>IF(COUNTIF(BH78:BL78,"&gt;0")&lt;Spielorte!$A$23,0,BE78/Spielorte!$A$23)</f>
        <v>0</v>
      </c>
      <c r="BU78" s="215">
        <f t="shared" si="71"/>
        <v>0</v>
      </c>
      <c r="BV78" s="214">
        <f t="shared" si="72"/>
        <v>0</v>
      </c>
    </row>
    <row r="79" spans="1:74" ht="27.75" customHeight="1" thickBot="1" x14ac:dyDescent="0.25">
      <c r="B79" s="11" t="str">
        <f>IF(S79=0,"",S79)</f>
        <v>Gesamt</v>
      </c>
      <c r="C79" s="26" t="str">
        <f t="shared" si="73"/>
        <v/>
      </c>
      <c r="D79" s="16">
        <f t="shared" si="73"/>
        <v>604</v>
      </c>
      <c r="E79" s="12">
        <f>IF(V79="","",V79)</f>
        <v>0</v>
      </c>
      <c r="F79" s="16">
        <f t="shared" si="52"/>
        <v>678</v>
      </c>
      <c r="G79" s="12">
        <f>IF(X79="","",X79)</f>
        <v>2</v>
      </c>
      <c r="H79" s="16">
        <f t="shared" si="53"/>
        <v>652</v>
      </c>
      <c r="I79" s="12">
        <f>IF(Z79="","",Z79)</f>
        <v>0</v>
      </c>
      <c r="J79" s="16">
        <f t="shared" si="54"/>
        <v>573</v>
      </c>
      <c r="K79" s="12">
        <f>IF(AB79="","",AB79)</f>
        <v>0</v>
      </c>
      <c r="L79" s="16">
        <f t="shared" si="55"/>
        <v>630</v>
      </c>
      <c r="M79" s="12">
        <f>IF(AD79="","",AD79)</f>
        <v>0</v>
      </c>
      <c r="N79" s="16">
        <f t="shared" si="56"/>
        <v>3137</v>
      </c>
      <c r="O79" s="12">
        <f>IF(AF79="","",AF79)</f>
        <v>2</v>
      </c>
      <c r="S79" s="11" t="s">
        <v>1791</v>
      </c>
      <c r="T79" s="71"/>
      <c r="U79" s="188">
        <f>ABS(SUM(U67:U69))+ABS(SUM(U70:U72))+ABS(SUM(U73:U75))+ABS(SUM(U76:U78))</f>
        <v>604</v>
      </c>
      <c r="V79" s="98">
        <f>IF(U79+U89=0,0,IF(U79=U89,1,IF(U79&gt;U89,2,0)))</f>
        <v>0</v>
      </c>
      <c r="W79" s="188">
        <f>ABS(SUM(W67:W69))+ABS(SUM(W70:W72))+ABS(SUM(W73:W75))+ABS(SUM(W76:W78))</f>
        <v>678</v>
      </c>
      <c r="X79" s="98">
        <f>IF(W79+W89=0,0,IF(W79=W89,1,IF(W79&gt;W89,2,0)))</f>
        <v>2</v>
      </c>
      <c r="Y79" s="188">
        <f>ABS(SUM(Y67:Y69))+ABS(SUM(Y70:Y72))+ABS(SUM(Y73:Y75))+ABS(SUM(Y76:Y78))</f>
        <v>652</v>
      </c>
      <c r="Z79" s="98">
        <f>IF(Y79+Y89=0,0,IF(Y79=Y89,1,IF(Y79&gt;Y89,2,0)))</f>
        <v>0</v>
      </c>
      <c r="AA79" s="188">
        <f>ABS(SUM(AA67:AA69))+ABS(SUM(AA70:AA72))+ABS(SUM(AA73:AA75))+ABS(SUM(AA76:AA78))</f>
        <v>573</v>
      </c>
      <c r="AB79" s="98">
        <f>IF(AA79+AA89=0,0,IF(AA79=AA89,1,IF(AA79&gt;AA89,2,0)))</f>
        <v>0</v>
      </c>
      <c r="AC79" s="188">
        <f>ABS(SUM(AC67:AC69))+ABS(SUM(AC70:AC72))+ABS(SUM(AC73:AC75))+ABS(SUM(AC76:AC78))</f>
        <v>630</v>
      </c>
      <c r="AD79" s="98">
        <f>IF(AC79+AC89=0,0,IF(AC79=AC89,1,IF(AC79&gt;AC89,2,0)))</f>
        <v>0</v>
      </c>
      <c r="AE79" s="198">
        <f>SUM(U79+W79+Y79+AA79+AC79)</f>
        <v>3137</v>
      </c>
      <c r="AF79" s="12">
        <f>SUM(V79+X79+Z79+AB79+AD79)</f>
        <v>2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3"/>
        <v/>
      </c>
      <c r="D80" s="1" t="str">
        <f t="shared" si="73"/>
        <v/>
      </c>
      <c r="E80" s="23">
        <f>IF(V80="","",V80)</f>
        <v>1</v>
      </c>
      <c r="F80" s="1" t="str">
        <f t="shared" si="52"/>
        <v/>
      </c>
      <c r="G80" s="23">
        <f>IF(X80="","",X80)</f>
        <v>6</v>
      </c>
      <c r="H80" s="1" t="str">
        <f t="shared" si="53"/>
        <v/>
      </c>
      <c r="I80" s="23">
        <f>IF(Z80="","",Z80)</f>
        <v>2</v>
      </c>
      <c r="J80" s="1" t="str">
        <f t="shared" si="54"/>
        <v/>
      </c>
      <c r="K80" s="23">
        <f>IF(AB80="","",AB80)</f>
        <v>2</v>
      </c>
      <c r="L80" s="1" t="str">
        <f t="shared" si="55"/>
        <v/>
      </c>
      <c r="M80" s="23">
        <f>IF(AD80="","",AD80)</f>
        <v>2</v>
      </c>
      <c r="N80" s="1" t="str">
        <f t="shared" si="56"/>
        <v/>
      </c>
      <c r="O80" s="23">
        <f>IF(AF80="","",AF80)</f>
        <v>13</v>
      </c>
      <c r="S80" s="8" t="s">
        <v>1802</v>
      </c>
      <c r="T80" s="1"/>
      <c r="U80" s="1"/>
      <c r="V80" s="72">
        <f>SUM(V67:V79)</f>
        <v>1</v>
      </c>
      <c r="W80" s="1"/>
      <c r="X80" s="72">
        <f>SUM(X67:X79)</f>
        <v>6</v>
      </c>
      <c r="Y80" s="1"/>
      <c r="Z80" s="72">
        <f>SUM(Z67:Z79)</f>
        <v>2</v>
      </c>
      <c r="AA80" s="1"/>
      <c r="AB80" s="72">
        <f>SUM(AB67:AB79)</f>
        <v>2</v>
      </c>
      <c r="AC80" s="1"/>
      <c r="AD80" s="72">
        <f>SUM(AD67:AD79)</f>
        <v>2</v>
      </c>
      <c r="AE80" s="1"/>
      <c r="AF80" s="72">
        <f>SUM(AF67:AF79)</f>
        <v>13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13</v>
      </c>
      <c r="BB80" s="213">
        <f>AE79</f>
        <v>3137</v>
      </c>
      <c r="BC80" s="214">
        <f>+S62</f>
        <v>3</v>
      </c>
      <c r="BF80" s="215">
        <f>SUM(BF61:BF79)</f>
        <v>20</v>
      </c>
      <c r="BM80" s="212">
        <f>+BB80/1000000+BA80</f>
        <v>13.003137000000001</v>
      </c>
      <c r="BN80" s="214">
        <f>RANK(BM80,BM:BM)</f>
        <v>6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K84" si="75">IF(S82=0,"",S82)</f>
        <v>Gegner-Nr.:</v>
      </c>
      <c r="C82" s="5" t="str">
        <f t="shared" si="75"/>
        <v>&gt;&gt;&gt;&gt;</v>
      </c>
      <c r="D82" s="350">
        <f t="shared" si="75"/>
        <v>5</v>
      </c>
      <c r="E82" s="350" t="str">
        <f t="shared" si="75"/>
        <v/>
      </c>
      <c r="F82" s="350">
        <f t="shared" si="75"/>
        <v>2</v>
      </c>
      <c r="G82" s="350" t="str">
        <f t="shared" si="75"/>
        <v/>
      </c>
      <c r="H82" s="350">
        <f t="shared" si="75"/>
        <v>4</v>
      </c>
      <c r="I82" s="350" t="str">
        <f t="shared" si="75"/>
        <v/>
      </c>
      <c r="J82" s="350">
        <f t="shared" si="75"/>
        <v>6</v>
      </c>
      <c r="K82" s="350" t="str">
        <f t="shared" si="75"/>
        <v/>
      </c>
      <c r="L82" s="350">
        <f t="shared" ref="L82:M84" si="76">IF(AC82=0,"",AC82)</f>
        <v>1</v>
      </c>
      <c r="M82" s="350" t="str">
        <f t="shared" si="76"/>
        <v/>
      </c>
      <c r="N82" s="351"/>
      <c r="O82" s="351"/>
      <c r="S82" s="13" t="s">
        <v>1789</v>
      </c>
      <c r="T82" s="5" t="s">
        <v>1790</v>
      </c>
      <c r="U82" s="369">
        <f>VLOOKUP($S62,Schlüssel!$A$5:$DG$10,43)</f>
        <v>5</v>
      </c>
      <c r="V82" s="370"/>
      <c r="W82" s="369">
        <f>VLOOKUP($S62,Schlüssel!$A$5:$EK$10,44)</f>
        <v>2</v>
      </c>
      <c r="X82" s="370"/>
      <c r="Y82" s="369">
        <f>VLOOKUP($S62,Schlüssel!$A$5:$EK$10,45)</f>
        <v>4</v>
      </c>
      <c r="Z82" s="370"/>
      <c r="AA82" s="369">
        <f>VLOOKUP($S62,Schlüssel!$A$5:$EK$10,46)</f>
        <v>6</v>
      </c>
      <c r="AB82" s="370"/>
      <c r="AC82" s="369">
        <f>VLOOKUP($S62,Schlüssel!$A$5:$EK$10,47)</f>
        <v>1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si="75"/>
        <v/>
      </c>
      <c r="C83" s="1" t="str">
        <f t="shared" si="75"/>
        <v/>
      </c>
      <c r="D83" s="347" t="str">
        <f t="shared" si="75"/>
        <v>Castra Regina Regensburg 2</v>
      </c>
      <c r="E83" s="348" t="str">
        <f t="shared" si="75"/>
        <v/>
      </c>
      <c r="F83" s="347" t="str">
        <f t="shared" si="75"/>
        <v>Herzogenaurach 1</v>
      </c>
      <c r="G83" s="348" t="str">
        <f t="shared" si="75"/>
        <v/>
      </c>
      <c r="H83" s="347" t="str">
        <f t="shared" si="75"/>
        <v>Kings Club Bayreuth Land 3</v>
      </c>
      <c r="I83" s="348" t="str">
        <f t="shared" si="75"/>
        <v/>
      </c>
      <c r="J83" s="347" t="str">
        <f t="shared" si="75"/>
        <v>Adler Nürnberg 1</v>
      </c>
      <c r="K83" s="348" t="str">
        <f t="shared" si="75"/>
        <v/>
      </c>
      <c r="L83" s="347" t="str">
        <f t="shared" si="76"/>
        <v>Castra Regina Regensburg 3</v>
      </c>
      <c r="M83" s="348" t="str">
        <f t="shared" si="76"/>
        <v/>
      </c>
      <c r="N83" s="349"/>
      <c r="O83" s="349"/>
      <c r="S83" s="4"/>
      <c r="T83" s="1"/>
      <c r="U83" s="347" t="str">
        <f>VLOOKUP(U82,Schlüssel!$A$5:$K$10,2)</f>
        <v>Castra Regina Regensburg 2</v>
      </c>
      <c r="V83" s="348"/>
      <c r="W83" s="347" t="str">
        <f>VLOOKUP(W82,Schlüssel!$A$5:$K$10,2)</f>
        <v>Herzogenaurach 1</v>
      </c>
      <c r="X83" s="348"/>
      <c r="Y83" s="347" t="str">
        <f>VLOOKUP(Y82,Schlüssel!$A$5:$K$10,2)</f>
        <v>Kings Club Bayreuth Land 3</v>
      </c>
      <c r="Z83" s="348"/>
      <c r="AA83" s="347" t="str">
        <f>VLOOKUP(AA82,Schlüssel!$A$5:$K$10,2)</f>
        <v>Adler Nürnberg 1</v>
      </c>
      <c r="AB83" s="348"/>
      <c r="AC83" s="347" t="str">
        <f>VLOOKUP(AC82,Schlüssel!$A$5:$K$10,2)</f>
        <v>Castra Regina Regensburg 3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5"/>
        <v/>
      </c>
      <c r="C84" s="1" t="str">
        <f t="shared" si="75"/>
        <v/>
      </c>
      <c r="D84" s="346" t="str">
        <f t="shared" si="75"/>
        <v/>
      </c>
      <c r="E84" s="346" t="str">
        <f t="shared" si="75"/>
        <v/>
      </c>
      <c r="F84" s="346" t="str">
        <f t="shared" si="75"/>
        <v/>
      </c>
      <c r="G84" s="346" t="str">
        <f t="shared" si="75"/>
        <v/>
      </c>
      <c r="H84" s="346" t="str">
        <f t="shared" si="75"/>
        <v/>
      </c>
      <c r="I84" s="346" t="str">
        <f t="shared" si="75"/>
        <v/>
      </c>
      <c r="J84" s="346" t="str">
        <f t="shared" si="75"/>
        <v/>
      </c>
      <c r="K84" s="346" t="str">
        <f t="shared" si="75"/>
        <v/>
      </c>
      <c r="L84" s="346" t="str">
        <f t="shared" si="76"/>
        <v/>
      </c>
      <c r="M84" s="346" t="str">
        <f t="shared" si="76"/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ref="B85:C89" si="77">IF(S85=0,"",S85)</f>
        <v>Spieler 1</v>
      </c>
      <c r="C85" s="372" t="str">
        <f t="shared" si="77"/>
        <v/>
      </c>
      <c r="D85" s="344">
        <f>IF(U85=301,"",U85)</f>
        <v>201</v>
      </c>
      <c r="E85" s="344" t="str">
        <f>IF(V85=0,"",V85)</f>
        <v/>
      </c>
      <c r="F85" s="344">
        <f>IF(W85=301,"",W85)</f>
        <v>167</v>
      </c>
      <c r="G85" s="344" t="str">
        <f>IF(X85=0,"",X85)</f>
        <v/>
      </c>
      <c r="H85" s="344">
        <f>IF(Y85=301,"",Y85)</f>
        <v>184</v>
      </c>
      <c r="I85" s="344" t="str">
        <f>IF(Z85=0,"",Z85)</f>
        <v/>
      </c>
      <c r="J85" s="344">
        <f>IF(AA85=301,"",AA85)</f>
        <v>128</v>
      </c>
      <c r="K85" s="344" t="str">
        <f>IF(AB85=0,"",AB85)</f>
        <v/>
      </c>
      <c r="L85" s="344">
        <f>IF(AC85=301,"",AC85)</f>
        <v>141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201</v>
      </c>
      <c r="V85" s="368"/>
      <c r="W85" s="367">
        <f>ABS(INDEX(W:W,MATCH(W82,$S:$S,0)+5)+INDEX(W:W,MATCH(W82,$S:$S,0)+6)+INDEX(W:W,MATCH(W82,$S:$S,0)+7))</f>
        <v>167</v>
      </c>
      <c r="X85" s="368"/>
      <c r="Y85" s="367">
        <f>ABS(INDEX(Y:Y,MATCH(Y82,$S:$S,0)+5)+INDEX(Y:Y,MATCH(Y82,$S:$S,0)+6)+INDEX(Y:Y,MATCH(Y82,$S:$S,0)+7))</f>
        <v>184</v>
      </c>
      <c r="Z85" s="368"/>
      <c r="AA85" s="367">
        <f>ABS(INDEX(AA:AA,MATCH(AA82,$S:$S,0)+5)+INDEX(AA:AA,MATCH(AA82,$S:$S,0)+6)+INDEX(AA:AA,MATCH(AA82,$S:$S,0)+7))</f>
        <v>128</v>
      </c>
      <c r="AB85" s="368"/>
      <c r="AC85" s="367">
        <f>ABS(INDEX(AC:AC,MATCH(AC82,$S:$S,0)+5)+INDEX(AC:AC,MATCH(AC82,$S:$S,0)+6)+INDEX(AC:AC,MATCH(AC82,$S:$S,0)+7))</f>
        <v>141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7"/>
        <v>Spieler 2</v>
      </c>
      <c r="C86" s="372" t="str">
        <f t="shared" si="77"/>
        <v/>
      </c>
      <c r="D86" s="344">
        <f>IF(U86=301,"",U86)</f>
        <v>134</v>
      </c>
      <c r="E86" s="344" t="str">
        <f>IF(V86=0,"",V86)</f>
        <v/>
      </c>
      <c r="F86" s="344">
        <f>IF(W86=301,"",W86)</f>
        <v>149</v>
      </c>
      <c r="G86" s="344" t="str">
        <f>IF(X86=0,"",X86)</f>
        <v/>
      </c>
      <c r="H86" s="344">
        <f>IF(Y86=301,"",Y86)</f>
        <v>166</v>
      </c>
      <c r="I86" s="344" t="str">
        <f>IF(Z86=0,"",Z86)</f>
        <v/>
      </c>
      <c r="J86" s="344">
        <f>IF(AA86=301,"",AA86)</f>
        <v>205</v>
      </c>
      <c r="K86" s="344" t="str">
        <f>IF(AB86=0,"",AB86)</f>
        <v/>
      </c>
      <c r="L86" s="344">
        <f>IF(AC86=301,"",AC86)</f>
        <v>168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134</v>
      </c>
      <c r="V86" s="366"/>
      <c r="W86" s="365">
        <f>ABS(INDEX(W:W,MATCH(W82,$S:$S,0)+8)+INDEX(W:W,MATCH(W82,$S:$S,0)+9)+INDEX(W:W,MATCH(W82,$S:$S,0)+10))</f>
        <v>149</v>
      </c>
      <c r="X86" s="366"/>
      <c r="Y86" s="365">
        <f>ABS(INDEX(Y:Y,MATCH(Y82,$S:$S,0)+8)+INDEX(Y:Y,MATCH(Y82,$S:$S,0)+9)+INDEX(Y:Y,MATCH(Y82,$S:$S,0)+10))</f>
        <v>166</v>
      </c>
      <c r="Z86" s="366"/>
      <c r="AA86" s="365">
        <f>ABS(INDEX(AA:AA,MATCH(AA82,$S:$S,0)+8)+INDEX(AA:AA,MATCH(AA82,$S:$S,0)+9)+INDEX(AA:AA,MATCH(AA82,$S:$S,0)+10))</f>
        <v>205</v>
      </c>
      <c r="AB86" s="366"/>
      <c r="AC86" s="365">
        <f>ABS(INDEX(AC:AC,MATCH(AC82,$S:$S,0)+8)+INDEX(AC:AC,MATCH(AC82,$S:$S,0)+9)+INDEX(AC:AC,MATCH(AC82,$S:$S,0)+10))</f>
        <v>168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7"/>
        <v>Spieler 3</v>
      </c>
      <c r="C87" s="372" t="str">
        <f t="shared" si="77"/>
        <v/>
      </c>
      <c r="D87" s="344">
        <f>IF(U87=301,"",U87)</f>
        <v>155</v>
      </c>
      <c r="E87" s="344" t="str">
        <f>IF(V87=0,"",V87)</f>
        <v/>
      </c>
      <c r="F87" s="344">
        <f>IF(W87=301,"",W87)</f>
        <v>136</v>
      </c>
      <c r="G87" s="344" t="str">
        <f>IF(X87=0,"",X87)</f>
        <v/>
      </c>
      <c r="H87" s="344">
        <f>IF(Y87=301,"",Y87)</f>
        <v>174</v>
      </c>
      <c r="I87" s="344" t="str">
        <f>IF(Z87=0,"",Z87)</f>
        <v/>
      </c>
      <c r="J87" s="344">
        <f>IF(AA87=301,"",AA87)</f>
        <v>161</v>
      </c>
      <c r="K87" s="344" t="str">
        <f>IF(AB87=0,"",AB87)</f>
        <v/>
      </c>
      <c r="L87" s="344">
        <f>IF(AC87=301,"",AC87)</f>
        <v>208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155</v>
      </c>
      <c r="V87" s="366"/>
      <c r="W87" s="365">
        <f>ABS(INDEX(W:W,MATCH(W82,$S:$S,0)+11)+INDEX(W:W,MATCH(W82,$S:$S,0)+12)+INDEX(W:W,MATCH(W82,$S:$S,0)+13))</f>
        <v>136</v>
      </c>
      <c r="X87" s="366"/>
      <c r="Y87" s="365">
        <f>ABS(INDEX(Y:Y,MATCH(Y82,$S:$S,0)+11)+INDEX(Y:Y,MATCH(Y82,$S:$S,0)+12)+INDEX(Y:Y,MATCH(Y82,$S:$S,0)+13))</f>
        <v>174</v>
      </c>
      <c r="Z87" s="366"/>
      <c r="AA87" s="365">
        <f>ABS(INDEX(AA:AA,MATCH(AA82,$S:$S,0)+11)+INDEX(AA:AA,MATCH(AA82,$S:$S,0)+12)+INDEX(AA:AA,MATCH(AA82,$S:$S,0)+13))</f>
        <v>161</v>
      </c>
      <c r="AB87" s="366"/>
      <c r="AC87" s="365">
        <f>ABS(INDEX(AC:AC,MATCH(AC82,$S:$S,0)+11)+INDEX(AC:AC,MATCH(AC82,$S:$S,0)+12)+INDEX(AC:AC,MATCH(AC82,$S:$S,0)+13))</f>
        <v>208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7"/>
        <v>Spieler 4</v>
      </c>
      <c r="C88" s="372" t="str">
        <f t="shared" si="77"/>
        <v/>
      </c>
      <c r="D88" s="344">
        <f>IF(U88=301,"",U88)</f>
        <v>206</v>
      </c>
      <c r="E88" s="344" t="str">
        <f>IF(V88=0,"",V88)</f>
        <v/>
      </c>
      <c r="F88" s="344">
        <f>IF(W88=301,"",W88)</f>
        <v>156</v>
      </c>
      <c r="G88" s="344" t="str">
        <f>IF(X88=0,"",X88)</f>
        <v/>
      </c>
      <c r="H88" s="344">
        <f>IF(Y88=301,"",Y88)</f>
        <v>197</v>
      </c>
      <c r="I88" s="344" t="str">
        <f>IF(Z88=0,"",Z88)</f>
        <v/>
      </c>
      <c r="J88" s="344">
        <f>IF(AA88=301,"",AA88)</f>
        <v>128</v>
      </c>
      <c r="K88" s="344" t="str">
        <f>IF(AB88=0,"",AB88)</f>
        <v/>
      </c>
      <c r="L88" s="344">
        <f>IF(AC88=301,"",AC88)</f>
        <v>139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206</v>
      </c>
      <c r="V88" s="366"/>
      <c r="W88" s="365">
        <f>ABS(INDEX(W:W,MATCH(W82,$S:$S,0)+14)+INDEX(W:W,MATCH(W82,$S:$S,0)+15)+INDEX(W:W,MATCH(W82,$S:$S,0)+16))</f>
        <v>156</v>
      </c>
      <c r="X88" s="366"/>
      <c r="Y88" s="365">
        <f>ABS(INDEX(Y:Y,MATCH(Y82,$S:$S,0)+14)+INDEX(Y:Y,MATCH(Y82,$S:$S,0)+15)+INDEX(Y:Y,MATCH(Y82,$S:$S,0)+16))</f>
        <v>197</v>
      </c>
      <c r="Z88" s="366"/>
      <c r="AA88" s="365">
        <f>ABS(INDEX(AA:AA,MATCH(AA82,$S:$S,0)+14)+INDEX(AA:AA,MATCH(AA82,$S:$S,0)+15)+INDEX(AA:AA,MATCH(AA82,$S:$S,0)+16))</f>
        <v>128</v>
      </c>
      <c r="AB88" s="366"/>
      <c r="AC88" s="365">
        <f>ABS(INDEX(AC:AC,MATCH(AC82,$S:$S,0)+14)+INDEX(AC:AC,MATCH(AC82,$S:$S,0)+15)+INDEX(AC:AC,MATCH(AC82,$S:$S,0)+16))</f>
        <v>139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7"/>
        <v>Gesamt</v>
      </c>
      <c r="C89" s="360" t="str">
        <f t="shared" si="77"/>
        <v/>
      </c>
      <c r="D89" s="343">
        <f>IF(U89=1505,"",U89)</f>
        <v>696</v>
      </c>
      <c r="E89" s="343" t="str">
        <f>IF(V89=0,"",V89)</f>
        <v/>
      </c>
      <c r="F89" s="343">
        <f>IF(W89=1505,"",W89)</f>
        <v>608</v>
      </c>
      <c r="G89" s="343" t="str">
        <f>IF(X89=0,"",X89)</f>
        <v/>
      </c>
      <c r="H89" s="343">
        <f>IF(Y89=1505,"",Y89)</f>
        <v>721</v>
      </c>
      <c r="I89" s="343" t="str">
        <f>IF(Z89=0,"",Z89)</f>
        <v/>
      </c>
      <c r="J89" s="343">
        <f>IF(AA89=1505,"",AA89)</f>
        <v>622</v>
      </c>
      <c r="K89" s="343" t="str">
        <f>IF(AB89=0,"",AB89)</f>
        <v/>
      </c>
      <c r="L89" s="343">
        <f>IF(AC89=1505,"",AC89)</f>
        <v>656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696</v>
      </c>
      <c r="V89" s="360"/>
      <c r="W89" s="359">
        <f>SUM(W85:W88)</f>
        <v>608</v>
      </c>
      <c r="X89" s="360"/>
      <c r="Y89" s="359">
        <f>SUM(Y85:Y88)</f>
        <v>721</v>
      </c>
      <c r="Z89" s="360"/>
      <c r="AA89" s="359">
        <f>SUM(AA85:AA88)</f>
        <v>622</v>
      </c>
      <c r="AB89" s="360"/>
      <c r="AC89" s="359">
        <f>SUM(AC85:AC88)</f>
        <v>656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 t="str">
        <f>AD91</f>
        <v>16.02.</v>
      </c>
      <c r="N91" s="376"/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Schlüssel!$BA$1</f>
        <v>16.02.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">
        <v>1786</v>
      </c>
      <c r="E92" s="84" t="str">
        <f>V92</f>
        <v>Nürnberg West Bowling</v>
      </c>
      <c r="F92" s="77"/>
      <c r="G92" s="77"/>
      <c r="H92" s="77"/>
      <c r="I92" s="77"/>
      <c r="J92" s="77"/>
      <c r="K92" s="77" t="str">
        <f>AC92</f>
        <v>Spieltag:</v>
      </c>
      <c r="L92" s="29"/>
      <c r="M92" s="86">
        <f>AD92</f>
        <v>3</v>
      </c>
      <c r="N92" s="28"/>
      <c r="R92" s="49"/>
      <c r="S92" s="50">
        <v>4</v>
      </c>
      <c r="U92" s="30" t="s">
        <v>1786</v>
      </c>
      <c r="V92" s="84" t="str">
        <f>Schlüssel!$AQ$2</f>
        <v>Nürnberg West Bowling</v>
      </c>
      <c r="X92" s="77"/>
      <c r="Y92" s="77"/>
      <c r="Z92" s="77"/>
      <c r="AA92" s="77"/>
      <c r="AB92" s="77"/>
      <c r="AC92" s="29" t="s">
        <v>1784</v>
      </c>
      <c r="AD92" s="34">
        <v>3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VLOOKUP(S92,Schlüssel!$A$5:$DZ$10,53)</f>
        <v>12</v>
      </c>
      <c r="W94" s="193" t="s">
        <v>10</v>
      </c>
      <c r="X94" s="191">
        <f>VLOOKUP(S92,Schlüssel!$A$5:$DZ$10,54)</f>
        <v>15</v>
      </c>
      <c r="Y94" s="193" t="s">
        <v>10</v>
      </c>
      <c r="Z94" s="191">
        <f>VLOOKUP(S92,Schlüssel!$A$5:$DZ$10,55)</f>
        <v>14</v>
      </c>
      <c r="AA94" s="193" t="s">
        <v>10</v>
      </c>
      <c r="AB94" s="191">
        <f>VLOOKUP(S92,Schlüssel!$A$5:$DZ$10,56)</f>
        <v>12</v>
      </c>
      <c r="AC94" s="193" t="s">
        <v>10</v>
      </c>
      <c r="AD94" s="192">
        <f>VLOOKUP(S92,Schlüssel!$A$5:$DZ$10,57)</f>
        <v>13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>Sommerer, Stefan</v>
      </c>
      <c r="C97" s="18">
        <f>IF(T97=0,"",T97)</f>
        <v>38823</v>
      </c>
      <c r="D97" s="14">
        <f>IF(U97=0,"",U97)</f>
        <v>184</v>
      </c>
      <c r="E97" s="352">
        <f>IF(V97="","",V97)</f>
        <v>1</v>
      </c>
      <c r="F97" s="14">
        <f t="shared" ref="F97:F110" si="78">IF(W97=0,"",W97)</f>
        <v>138</v>
      </c>
      <c r="G97" s="352">
        <f>IF(X97="","",X97)</f>
        <v>0</v>
      </c>
      <c r="H97" s="14">
        <f t="shared" ref="H97:H110" si="79">IF(Y97=0,"",Y97)</f>
        <v>184</v>
      </c>
      <c r="I97" s="352">
        <f>IF(Z97="","",Z97)</f>
        <v>0</v>
      </c>
      <c r="J97" s="14">
        <f t="shared" ref="J97:J110" si="80">IF(AA97=0,"",AA97)</f>
        <v>173</v>
      </c>
      <c r="K97" s="352">
        <f>IF(AB97="","",AB97)</f>
        <v>0</v>
      </c>
      <c r="L97" s="14">
        <f t="shared" ref="L97:L110" si="81">IF(AC97=0,"",AC97)</f>
        <v>144</v>
      </c>
      <c r="M97" s="352">
        <f>IF(AD97="","",AD97)</f>
        <v>0</v>
      </c>
      <c r="N97" s="14">
        <f t="shared" ref="N97:N110" si="82">IF(AE97=0,"",AE97)</f>
        <v>823</v>
      </c>
      <c r="O97" s="352">
        <f>IF(AF97="","",AF97)</f>
        <v>1</v>
      </c>
      <c r="R97" s="355" t="s">
        <v>0</v>
      </c>
      <c r="S97" s="68" t="str">
        <f>IF(T97=0,"",VLOOKUP(T97,Starter!$A$1:$D$196,2,FALSE))</f>
        <v>Sommerer, Stefan</v>
      </c>
      <c r="T97" s="175">
        <v>38823</v>
      </c>
      <c r="U97" s="183">
        <v>184</v>
      </c>
      <c r="V97" s="95">
        <f>IF(SUM(U97:U99)+U115=0,0,IF(ABS(SUM(U97:U99))=U115,0.5,IF(ABS(SUM(U97:U99))&gt;U115,1,0)))</f>
        <v>1</v>
      </c>
      <c r="W97" s="183">
        <v>138</v>
      </c>
      <c r="X97" s="95">
        <f>IF(SUM(W97:W99)+W115=0,0,IF(ABS(SUM(W97:W99))=W115,0.5,IF(ABS(SUM(W97:W99))&gt;W115,1,0)))</f>
        <v>0</v>
      </c>
      <c r="Y97" s="183">
        <v>184</v>
      </c>
      <c r="Z97" s="95">
        <f>IF(SUM(Y97:Y99)+Y115=0,0,IF(ABS(SUM(Y97:Y99))=Y115,0.5,IF(ABS(SUM(Y97:Y99))&gt;Y115,1,0)))</f>
        <v>0</v>
      </c>
      <c r="AA97" s="189">
        <v>173</v>
      </c>
      <c r="AB97" s="95">
        <f>IF(SUM(AA97:AA99)+AA115=0,0,IF(ABS(SUM(AA97:AA99))=AA115,0.5,IF(ABS(SUM(AA97:AA99))&gt;AA115,1,0)))</f>
        <v>0</v>
      </c>
      <c r="AC97" s="183">
        <v>144</v>
      </c>
      <c r="AD97" s="95">
        <f>IF(SUM(AC97:AC99)+AC115=0,0,IF(ABS(SUM(AC97:AC99))=AC115,0.5,IF(ABS(SUM(AC97:AC99))&gt;AC115,1,0)))</f>
        <v>0</v>
      </c>
      <c r="AE97" s="195">
        <f t="shared" ref="AE97:AE108" si="83">ABS(SUM(U97:U97))+ABS(SUM(W97:W97))+ABS(SUM(Y97:Y97))+ABS(SUM(AA97:AA97))+ABS(SUM(AC97:AC97))</f>
        <v>823</v>
      </c>
      <c r="AF97" s="180">
        <f>SUM(V97+X97+Z97+AB97+AD97)</f>
        <v>1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4">T97</f>
        <v>38823</v>
      </c>
      <c r="BE97" s="213">
        <f t="shared" ref="BE97:BE108" si="85">AE97</f>
        <v>823</v>
      </c>
      <c r="BF97" s="215">
        <f t="shared" ref="BF97:BF108" si="86">COUNT(BH97:BL97)</f>
        <v>5</v>
      </c>
      <c r="BG97" s="215">
        <f t="shared" ref="BG97:BG108" si="87">COUNTIF(BH97:BL97,"&gt;0")</f>
        <v>5</v>
      </c>
      <c r="BH97" s="215">
        <f t="shared" ref="BH97:BH108" si="88">IF(U97=0,"",U97)</f>
        <v>184</v>
      </c>
      <c r="BI97" s="215">
        <f t="shared" ref="BI97:BI108" si="89">IF(W97=0,"",W97)</f>
        <v>138</v>
      </c>
      <c r="BJ97" s="215">
        <f t="shared" ref="BJ97:BJ108" si="90">IF(Y97=0,"",Y97)</f>
        <v>184</v>
      </c>
      <c r="BK97" s="215">
        <f t="shared" ref="BK97:BK108" si="91">IF(AA97=0,"",AA97)</f>
        <v>173</v>
      </c>
      <c r="BL97" s="215">
        <f t="shared" ref="BL97:BL108" si="92">IF(AC97=0,"",AC97)</f>
        <v>144</v>
      </c>
      <c r="BM97" s="216"/>
      <c r="BN97" s="214"/>
      <c r="BO97" s="215">
        <f t="shared" ref="BO97:BO108" si="93">MAX(BH97:BL97)</f>
        <v>184</v>
      </c>
      <c r="BP97" s="215">
        <f t="shared" ref="BP97:BP108" si="94">IF(BO97&lt;MAX(BO:BO),0,BO97+ROW()/1000000000)</f>
        <v>0</v>
      </c>
      <c r="BQ97" s="215" t="str">
        <f>+S93</f>
        <v>Kings Club Bayreuth Land 3</v>
      </c>
      <c r="BR97" s="214">
        <f t="shared" ref="BR97:BR108" si="95">RANK(BP97,BP:BP)</f>
        <v>2</v>
      </c>
      <c r="BS97" s="215">
        <f t="shared" ref="BS97:BS108" si="96">SUMIF(BH97:BL97,"&gt;0")</f>
        <v>823</v>
      </c>
      <c r="BT97" s="215">
        <f>IF(COUNTIF(BH97:BL97,"&gt;0")&lt;Spielorte!$A$23,0,BE97/Spielorte!$A$23)</f>
        <v>164.6</v>
      </c>
      <c r="BU97" s="215">
        <f t="shared" ref="BU97:BU108" si="97">IF(BT97&lt;MAX(BT:BT),0,BT97+ROW()/1000000000)</f>
        <v>0</v>
      </c>
      <c r="BV97" s="214">
        <f t="shared" ref="BV97:BV108" si="98">IF(BU97=0,0,RANK(BU97,BU:BU))</f>
        <v>0</v>
      </c>
    </row>
    <row r="98" spans="1:74" ht="17.100000000000001" customHeight="1" x14ac:dyDescent="0.2">
      <c r="A98" s="374"/>
      <c r="B98" s="19" t="str">
        <f t="shared" ref="B98:D110" si="99">IF(S98=0,"",S98)</f>
        <v/>
      </c>
      <c r="C98" s="20" t="str">
        <f t="shared" si="99"/>
        <v/>
      </c>
      <c r="D98" s="15" t="str">
        <f t="shared" si="99"/>
        <v/>
      </c>
      <c r="E98" s="353"/>
      <c r="F98" s="15" t="str">
        <f t="shared" si="78"/>
        <v/>
      </c>
      <c r="G98" s="353"/>
      <c r="H98" s="15" t="str">
        <f t="shared" si="79"/>
        <v/>
      </c>
      <c r="I98" s="353"/>
      <c r="J98" s="15" t="str">
        <f t="shared" si="80"/>
        <v/>
      </c>
      <c r="K98" s="353"/>
      <c r="L98" s="15" t="str">
        <f t="shared" si="81"/>
        <v/>
      </c>
      <c r="M98" s="353"/>
      <c r="N98" s="15" t="str">
        <f t="shared" si="82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3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4"/>
        <v>0</v>
      </c>
      <c r="BE98" s="213">
        <f t="shared" si="85"/>
        <v>0</v>
      </c>
      <c r="BF98" s="215">
        <f t="shared" si="86"/>
        <v>0</v>
      </c>
      <c r="BG98" s="215">
        <f t="shared" si="87"/>
        <v>0</v>
      </c>
      <c r="BH98" s="215" t="str">
        <f t="shared" si="88"/>
        <v/>
      </c>
      <c r="BI98" s="215" t="str">
        <f t="shared" si="89"/>
        <v/>
      </c>
      <c r="BJ98" s="215" t="str">
        <f t="shared" si="90"/>
        <v/>
      </c>
      <c r="BK98" s="215" t="str">
        <f t="shared" si="91"/>
        <v/>
      </c>
      <c r="BL98" s="215" t="str">
        <f t="shared" si="92"/>
        <v/>
      </c>
      <c r="BM98" s="216"/>
      <c r="BN98" s="214"/>
      <c r="BO98" s="215">
        <f t="shared" si="93"/>
        <v>0</v>
      </c>
      <c r="BP98" s="215">
        <f t="shared" si="94"/>
        <v>0</v>
      </c>
      <c r="BQ98" s="215" t="str">
        <f t="shared" ref="BQ98:BQ108" si="100">+BQ97</f>
        <v>Kings Club Bayreuth Land 3</v>
      </c>
      <c r="BR98" s="214">
        <f t="shared" si="95"/>
        <v>2</v>
      </c>
      <c r="BS98" s="215">
        <f t="shared" si="96"/>
        <v>0</v>
      </c>
      <c r="BT98" s="215">
        <f>IF(COUNTIF(BH98:BL98,"&gt;0")&lt;Spielorte!$A$23,0,BE98/Spielorte!$A$23)</f>
        <v>0</v>
      </c>
      <c r="BU98" s="215">
        <f t="shared" si="97"/>
        <v>0</v>
      </c>
      <c r="BV98" s="214">
        <f t="shared" si="98"/>
        <v>0</v>
      </c>
    </row>
    <row r="99" spans="1:74" ht="17.100000000000001" customHeight="1" thickBot="1" x14ac:dyDescent="0.25">
      <c r="A99" s="375"/>
      <c r="B99" s="21" t="str">
        <f t="shared" si="99"/>
        <v/>
      </c>
      <c r="C99" s="22" t="str">
        <f t="shared" si="99"/>
        <v/>
      </c>
      <c r="D99" s="9" t="str">
        <f t="shared" si="99"/>
        <v/>
      </c>
      <c r="E99" s="354"/>
      <c r="F99" s="9" t="str">
        <f t="shared" si="78"/>
        <v/>
      </c>
      <c r="G99" s="354"/>
      <c r="H99" s="9" t="str">
        <f t="shared" si="79"/>
        <v/>
      </c>
      <c r="I99" s="354"/>
      <c r="J99" s="9" t="str">
        <f t="shared" si="80"/>
        <v/>
      </c>
      <c r="K99" s="354"/>
      <c r="L99" s="9" t="str">
        <f t="shared" si="81"/>
        <v/>
      </c>
      <c r="M99" s="354"/>
      <c r="N99" s="9" t="str">
        <f t="shared" si="82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3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4"/>
        <v>0</v>
      </c>
      <c r="BE99" s="213">
        <f t="shared" si="85"/>
        <v>0</v>
      </c>
      <c r="BF99" s="215">
        <f t="shared" si="86"/>
        <v>0</v>
      </c>
      <c r="BG99" s="215">
        <f t="shared" si="87"/>
        <v>0</v>
      </c>
      <c r="BH99" s="215" t="str">
        <f t="shared" si="88"/>
        <v/>
      </c>
      <c r="BI99" s="215" t="str">
        <f t="shared" si="89"/>
        <v/>
      </c>
      <c r="BJ99" s="215" t="str">
        <f t="shared" si="90"/>
        <v/>
      </c>
      <c r="BK99" s="215" t="str">
        <f t="shared" si="91"/>
        <v/>
      </c>
      <c r="BL99" s="215" t="str">
        <f t="shared" si="92"/>
        <v/>
      </c>
      <c r="BM99" s="216"/>
      <c r="BN99" s="214"/>
      <c r="BO99" s="215">
        <f t="shared" si="93"/>
        <v>0</v>
      </c>
      <c r="BP99" s="215">
        <f t="shared" si="94"/>
        <v>0</v>
      </c>
      <c r="BQ99" s="215" t="str">
        <f t="shared" si="100"/>
        <v>Kings Club Bayreuth Land 3</v>
      </c>
      <c r="BR99" s="214">
        <f t="shared" si="95"/>
        <v>2</v>
      </c>
      <c r="BS99" s="215">
        <f t="shared" si="96"/>
        <v>0</v>
      </c>
      <c r="BT99" s="215">
        <f>IF(COUNTIF(BH99:BL99,"&gt;0")&lt;Spielorte!$A$23,0,BE99/Spielorte!$A$23)</f>
        <v>0</v>
      </c>
      <c r="BU99" s="215">
        <f t="shared" si="97"/>
        <v>0</v>
      </c>
      <c r="BV99" s="214">
        <f t="shared" si="98"/>
        <v>0</v>
      </c>
    </row>
    <row r="100" spans="1:74" ht="17.100000000000001" customHeight="1" x14ac:dyDescent="0.2">
      <c r="A100" s="373" t="s">
        <v>2</v>
      </c>
      <c r="B100" s="17" t="str">
        <f t="shared" si="99"/>
        <v>Zahiri, Ali</v>
      </c>
      <c r="C100" s="18">
        <f t="shared" si="99"/>
        <v>38509</v>
      </c>
      <c r="D100" s="14">
        <f t="shared" si="99"/>
        <v>151</v>
      </c>
      <c r="E100" s="352">
        <f>IF(V100="","",V100)</f>
        <v>0</v>
      </c>
      <c r="F100" s="14">
        <f t="shared" si="78"/>
        <v>144</v>
      </c>
      <c r="G100" s="352">
        <f>IF(X100="","",X100)</f>
        <v>1</v>
      </c>
      <c r="H100" s="14">
        <f t="shared" si="79"/>
        <v>166</v>
      </c>
      <c r="I100" s="352">
        <f>IF(Z100="","",Z100)</f>
        <v>1</v>
      </c>
      <c r="J100" s="14">
        <f t="shared" si="80"/>
        <v>157</v>
      </c>
      <c r="K100" s="352">
        <f>IF(AB100="","",AB100)</f>
        <v>0</v>
      </c>
      <c r="L100" s="14">
        <f t="shared" si="81"/>
        <v>138</v>
      </c>
      <c r="M100" s="352">
        <f>IF(AD100="","",AD100)</f>
        <v>0</v>
      </c>
      <c r="N100" s="14">
        <f t="shared" si="82"/>
        <v>756</v>
      </c>
      <c r="O100" s="352">
        <f>IF(AF100="","",AF100)</f>
        <v>2</v>
      </c>
      <c r="R100" s="355" t="s">
        <v>2</v>
      </c>
      <c r="S100" s="68" t="str">
        <f>IF(T100=0,"",VLOOKUP(T100,Starter!$A$1:$D$196,2,FALSE))</f>
        <v>Zahiri, Ali</v>
      </c>
      <c r="T100" s="178">
        <v>38509</v>
      </c>
      <c r="U100" s="186">
        <v>151</v>
      </c>
      <c r="V100" s="95">
        <f>IF(SUM(U100:U102)+U116=0,0,IF(ABS(SUM(U100:U102))=U116,0.5,IF(ABS(SUM(U100:U102))&gt;U116,1,0)))</f>
        <v>0</v>
      </c>
      <c r="W100" s="186">
        <v>144</v>
      </c>
      <c r="X100" s="95">
        <f>IF(SUM(W100:W102)+W116=0,0,IF(ABS(SUM(W100:W102))=W116,0.5,IF(ABS(SUM(W100:W102))&gt;W116,1,0)))</f>
        <v>1</v>
      </c>
      <c r="Y100" s="186">
        <v>166</v>
      </c>
      <c r="Z100" s="95">
        <f>IF(SUM(Y100:Y102)+Y116=0,0,IF(ABS(SUM(Y100:Y102))=Y116,0.5,IF(ABS(SUM(Y100:Y102))&gt;Y116,1,0)))</f>
        <v>1</v>
      </c>
      <c r="AA100" s="186">
        <v>157</v>
      </c>
      <c r="AB100" s="95">
        <f>IF(SUM(AA100:AA102)+AA116=0,0,IF(ABS(SUM(AA100:AA102))=AA116,0.5,IF(ABS(SUM(AA100:AA102))&gt;AA116,1,0)))</f>
        <v>0</v>
      </c>
      <c r="AC100" s="186">
        <v>138</v>
      </c>
      <c r="AD100" s="95">
        <f>IF(SUM(AC100:AC102)+AC116=0,0,IF(ABS(SUM(AC100:AC102))=AC116,0.5,IF(ABS(SUM(AC100:AC102))&gt;AC116,1,0)))</f>
        <v>0</v>
      </c>
      <c r="AE100" s="195">
        <f t="shared" si="83"/>
        <v>756</v>
      </c>
      <c r="AF100" s="180">
        <f>SUM(V100+X100+Z100+AB100+AD100)</f>
        <v>2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4"/>
        <v>38509</v>
      </c>
      <c r="BE100" s="213">
        <f t="shared" si="85"/>
        <v>756</v>
      </c>
      <c r="BF100" s="215">
        <f t="shared" si="86"/>
        <v>5</v>
      </c>
      <c r="BG100" s="215">
        <f t="shared" si="87"/>
        <v>5</v>
      </c>
      <c r="BH100" s="215">
        <f t="shared" si="88"/>
        <v>151</v>
      </c>
      <c r="BI100" s="215">
        <f t="shared" si="89"/>
        <v>144</v>
      </c>
      <c r="BJ100" s="215">
        <f t="shared" si="90"/>
        <v>166</v>
      </c>
      <c r="BK100" s="215">
        <f t="shared" si="91"/>
        <v>157</v>
      </c>
      <c r="BL100" s="215">
        <f t="shared" si="92"/>
        <v>138</v>
      </c>
      <c r="BM100" s="216"/>
      <c r="BN100" s="214"/>
      <c r="BO100" s="215">
        <f t="shared" si="93"/>
        <v>166</v>
      </c>
      <c r="BP100" s="215">
        <f t="shared" si="94"/>
        <v>0</v>
      </c>
      <c r="BQ100" s="215" t="str">
        <f t="shared" si="100"/>
        <v>Kings Club Bayreuth Land 3</v>
      </c>
      <c r="BR100" s="214">
        <f t="shared" si="95"/>
        <v>2</v>
      </c>
      <c r="BS100" s="215">
        <f t="shared" si="96"/>
        <v>756</v>
      </c>
      <c r="BT100" s="215">
        <f>IF(COUNTIF(BH100:BL100,"&gt;0")&lt;Spielorte!$A$23,0,BE100/Spielorte!$A$23)</f>
        <v>151.19999999999999</v>
      </c>
      <c r="BU100" s="215">
        <f t="shared" si="97"/>
        <v>0</v>
      </c>
      <c r="BV100" s="214">
        <f t="shared" si="98"/>
        <v>0</v>
      </c>
    </row>
    <row r="101" spans="1:74" ht="17.100000000000001" customHeight="1" x14ac:dyDescent="0.2">
      <c r="A101" s="374"/>
      <c r="B101" s="19" t="str">
        <f t="shared" si="99"/>
        <v/>
      </c>
      <c r="C101" s="20" t="str">
        <f t="shared" si="99"/>
        <v/>
      </c>
      <c r="D101" s="15" t="str">
        <f t="shared" si="99"/>
        <v/>
      </c>
      <c r="E101" s="353"/>
      <c r="F101" s="15" t="str">
        <f t="shared" si="78"/>
        <v/>
      </c>
      <c r="G101" s="353"/>
      <c r="H101" s="15" t="str">
        <f t="shared" si="79"/>
        <v/>
      </c>
      <c r="I101" s="353"/>
      <c r="J101" s="15" t="str">
        <f t="shared" si="80"/>
        <v/>
      </c>
      <c r="K101" s="353"/>
      <c r="L101" s="15" t="str">
        <f t="shared" si="81"/>
        <v/>
      </c>
      <c r="M101" s="353"/>
      <c r="N101" s="15" t="str">
        <f t="shared" si="82"/>
        <v/>
      </c>
      <c r="O101" s="353"/>
      <c r="R101" s="356"/>
      <c r="S101" s="68" t="str">
        <f>IF(T101=0,"",VLOOKUP(T101,Starter!$A$1:$D$196,2,FALSE))</f>
        <v/>
      </c>
      <c r="T101" s="176"/>
      <c r="U101" s="184"/>
      <c r="V101" s="96"/>
      <c r="W101" s="184"/>
      <c r="X101" s="96"/>
      <c r="Y101" s="184"/>
      <c r="Z101" s="96"/>
      <c r="AA101" s="184"/>
      <c r="AB101" s="96"/>
      <c r="AC101" s="184"/>
      <c r="AD101" s="96"/>
      <c r="AE101" s="196">
        <f t="shared" si="83"/>
        <v>0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4"/>
        <v>0</v>
      </c>
      <c r="BE101" s="213">
        <f t="shared" si="85"/>
        <v>0</v>
      </c>
      <c r="BF101" s="215">
        <f t="shared" si="86"/>
        <v>0</v>
      </c>
      <c r="BG101" s="215">
        <f t="shared" si="87"/>
        <v>0</v>
      </c>
      <c r="BH101" s="215" t="str">
        <f t="shared" si="88"/>
        <v/>
      </c>
      <c r="BI101" s="215" t="str">
        <f t="shared" si="89"/>
        <v/>
      </c>
      <c r="BJ101" s="215" t="str">
        <f t="shared" si="90"/>
        <v/>
      </c>
      <c r="BK101" s="215" t="str">
        <f t="shared" si="91"/>
        <v/>
      </c>
      <c r="BL101" s="215" t="str">
        <f t="shared" si="92"/>
        <v/>
      </c>
      <c r="BM101" s="216"/>
      <c r="BN101" s="214"/>
      <c r="BO101" s="215">
        <f t="shared" si="93"/>
        <v>0</v>
      </c>
      <c r="BP101" s="215">
        <f t="shared" si="94"/>
        <v>0</v>
      </c>
      <c r="BQ101" s="215" t="str">
        <f t="shared" si="100"/>
        <v>Kings Club Bayreuth Land 3</v>
      </c>
      <c r="BR101" s="214">
        <f t="shared" si="95"/>
        <v>2</v>
      </c>
      <c r="BS101" s="215">
        <f t="shared" si="96"/>
        <v>0</v>
      </c>
      <c r="BT101" s="215">
        <f>IF(COUNTIF(BH101:BL101,"&gt;0")&lt;Spielorte!$A$23,0,BE101/Spielorte!$A$23)</f>
        <v>0</v>
      </c>
      <c r="BU101" s="215">
        <f t="shared" si="97"/>
        <v>0</v>
      </c>
      <c r="BV101" s="214">
        <f t="shared" si="98"/>
        <v>0</v>
      </c>
    </row>
    <row r="102" spans="1:74" ht="17.100000000000001" customHeight="1" thickBot="1" x14ac:dyDescent="0.25">
      <c r="A102" s="375"/>
      <c r="B102" s="21" t="str">
        <f t="shared" si="99"/>
        <v/>
      </c>
      <c r="C102" s="22" t="str">
        <f t="shared" si="99"/>
        <v/>
      </c>
      <c r="D102" s="9" t="str">
        <f t="shared" si="99"/>
        <v/>
      </c>
      <c r="E102" s="354"/>
      <c r="F102" s="9" t="str">
        <f t="shared" si="78"/>
        <v/>
      </c>
      <c r="G102" s="354"/>
      <c r="H102" s="9" t="str">
        <f t="shared" si="79"/>
        <v/>
      </c>
      <c r="I102" s="354"/>
      <c r="J102" s="9" t="str">
        <f t="shared" si="80"/>
        <v/>
      </c>
      <c r="K102" s="354"/>
      <c r="L102" s="9" t="str">
        <f t="shared" si="81"/>
        <v/>
      </c>
      <c r="M102" s="354"/>
      <c r="N102" s="9" t="str">
        <f t="shared" si="82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3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4"/>
        <v>0</v>
      </c>
      <c r="BE102" s="213">
        <f t="shared" si="85"/>
        <v>0</v>
      </c>
      <c r="BF102" s="215">
        <f t="shared" si="86"/>
        <v>0</v>
      </c>
      <c r="BG102" s="215">
        <f t="shared" si="87"/>
        <v>0</v>
      </c>
      <c r="BH102" s="215" t="str">
        <f t="shared" si="88"/>
        <v/>
      </c>
      <c r="BI102" s="215" t="str">
        <f t="shared" si="89"/>
        <v/>
      </c>
      <c r="BJ102" s="215" t="str">
        <f t="shared" si="90"/>
        <v/>
      </c>
      <c r="BK102" s="215" t="str">
        <f t="shared" si="91"/>
        <v/>
      </c>
      <c r="BL102" s="215" t="str">
        <f t="shared" si="92"/>
        <v/>
      </c>
      <c r="BM102" s="216"/>
      <c r="BN102" s="214"/>
      <c r="BO102" s="215">
        <f t="shared" si="93"/>
        <v>0</v>
      </c>
      <c r="BP102" s="215">
        <f t="shared" si="94"/>
        <v>0</v>
      </c>
      <c r="BQ102" s="215" t="str">
        <f t="shared" si="100"/>
        <v>Kings Club Bayreuth Land 3</v>
      </c>
      <c r="BR102" s="214">
        <f t="shared" si="95"/>
        <v>2</v>
      </c>
      <c r="BS102" s="215">
        <f t="shared" si="96"/>
        <v>0</v>
      </c>
      <c r="BT102" s="215">
        <f>IF(COUNTIF(BH102:BL102,"&gt;0")&lt;Spielorte!$A$23,0,BE102/Spielorte!$A$23)</f>
        <v>0</v>
      </c>
      <c r="BU102" s="215">
        <f t="shared" si="97"/>
        <v>0</v>
      </c>
      <c r="BV102" s="214">
        <f t="shared" si="98"/>
        <v>0</v>
      </c>
    </row>
    <row r="103" spans="1:74" ht="17.100000000000001" customHeight="1" x14ac:dyDescent="0.2">
      <c r="A103" s="373" t="s">
        <v>3</v>
      </c>
      <c r="B103" s="17" t="str">
        <f t="shared" si="99"/>
        <v>Fischer, Nick</v>
      </c>
      <c r="C103" s="18">
        <f t="shared" si="99"/>
        <v>9936</v>
      </c>
      <c r="D103" s="14">
        <f t="shared" si="99"/>
        <v>155</v>
      </c>
      <c r="E103" s="352">
        <f>IF(V103="","",V103)</f>
        <v>0</v>
      </c>
      <c r="F103" s="14">
        <f t="shared" si="78"/>
        <v>190</v>
      </c>
      <c r="G103" s="352">
        <f>IF(X103="","",X103)</f>
        <v>1</v>
      </c>
      <c r="H103" s="14">
        <f t="shared" si="79"/>
        <v>174</v>
      </c>
      <c r="I103" s="352">
        <f>IF(Z103="","",Z103)</f>
        <v>0</v>
      </c>
      <c r="J103" s="14">
        <f t="shared" si="80"/>
        <v>209</v>
      </c>
      <c r="K103" s="352">
        <f>IF(AB103="","",AB103)</f>
        <v>1</v>
      </c>
      <c r="L103" s="14">
        <f t="shared" si="81"/>
        <v>172</v>
      </c>
      <c r="M103" s="352">
        <f>IF(AD103="","",AD103)</f>
        <v>1</v>
      </c>
      <c r="N103" s="14">
        <f t="shared" si="82"/>
        <v>900</v>
      </c>
      <c r="O103" s="352">
        <f>IF(AF103="","",AF103)</f>
        <v>3</v>
      </c>
      <c r="R103" s="355" t="s">
        <v>3</v>
      </c>
      <c r="S103" s="68" t="str">
        <f>IF(T103=0,"",VLOOKUP(T103,Starter!$A$1:$D$196,2,FALSE))</f>
        <v>Fischer, Nick</v>
      </c>
      <c r="T103" s="178">
        <v>9936</v>
      </c>
      <c r="U103" s="186">
        <v>155</v>
      </c>
      <c r="V103" s="95">
        <f>IF(SUM(U103:U105)+U117=0,0,IF(ABS(SUM(U103:U105))=U117,0.5,IF(ABS(SUM(U103:U105))&gt;U117,1,0)))</f>
        <v>0</v>
      </c>
      <c r="W103" s="186">
        <v>190</v>
      </c>
      <c r="X103" s="95">
        <f>IF(SUM(W103:W105)+W117=0,0,IF(ABS(SUM(W103:W105))=W117,0.5,IF(ABS(SUM(W103:W105))&gt;W117,1,0)))</f>
        <v>1</v>
      </c>
      <c r="Y103" s="186">
        <v>174</v>
      </c>
      <c r="Z103" s="95">
        <f>IF(SUM(Y103:Y105)+Y117=0,0,IF(ABS(SUM(Y103:Y105))=Y117,0.5,IF(ABS(SUM(Y103:Y105))&gt;Y117,1,0)))</f>
        <v>0</v>
      </c>
      <c r="AA103" s="186">
        <v>209</v>
      </c>
      <c r="AB103" s="95">
        <f>IF(SUM(AA103:AA105)+AA117=0,0,IF(ABS(SUM(AA103:AA105))=AA117,0.5,IF(ABS(SUM(AA103:AA105))&gt;AA117,1,0)))</f>
        <v>1</v>
      </c>
      <c r="AC103" s="186">
        <v>172</v>
      </c>
      <c r="AD103" s="95">
        <f>IF(SUM(AC103:AC105)+AC117=0,0,IF(ABS(SUM(AC103:AC105))=AC117,0.5,IF(ABS(SUM(AC103:AC105))&gt;AC117,1,0)))</f>
        <v>1</v>
      </c>
      <c r="AE103" s="195">
        <f t="shared" si="83"/>
        <v>900</v>
      </c>
      <c r="AF103" s="180">
        <f>SUM(V103+X103+Z103+AB103+AD103)</f>
        <v>3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4"/>
        <v>9936</v>
      </c>
      <c r="BE103" s="213">
        <f t="shared" si="85"/>
        <v>900</v>
      </c>
      <c r="BF103" s="215">
        <f t="shared" si="86"/>
        <v>5</v>
      </c>
      <c r="BG103" s="215">
        <f t="shared" si="87"/>
        <v>5</v>
      </c>
      <c r="BH103" s="215">
        <f t="shared" si="88"/>
        <v>155</v>
      </c>
      <c r="BI103" s="215">
        <f t="shared" si="89"/>
        <v>190</v>
      </c>
      <c r="BJ103" s="215">
        <f t="shared" si="90"/>
        <v>174</v>
      </c>
      <c r="BK103" s="215">
        <f t="shared" si="91"/>
        <v>209</v>
      </c>
      <c r="BL103" s="215">
        <f t="shared" si="92"/>
        <v>172</v>
      </c>
      <c r="BM103" s="216"/>
      <c r="BN103" s="214"/>
      <c r="BO103" s="215">
        <f t="shared" si="93"/>
        <v>209</v>
      </c>
      <c r="BP103" s="215">
        <f t="shared" si="94"/>
        <v>0</v>
      </c>
      <c r="BQ103" s="215" t="str">
        <f t="shared" si="100"/>
        <v>Kings Club Bayreuth Land 3</v>
      </c>
      <c r="BR103" s="214">
        <f t="shared" si="95"/>
        <v>2</v>
      </c>
      <c r="BS103" s="215">
        <f t="shared" si="96"/>
        <v>900</v>
      </c>
      <c r="BT103" s="215">
        <f>IF(COUNTIF(BH103:BL103,"&gt;0")&lt;Spielorte!$A$23,0,BE103/Spielorte!$A$23)</f>
        <v>180</v>
      </c>
      <c r="BU103" s="215">
        <f t="shared" si="97"/>
        <v>0</v>
      </c>
      <c r="BV103" s="214">
        <f t="shared" si="98"/>
        <v>0</v>
      </c>
    </row>
    <row r="104" spans="1:74" ht="17.100000000000001" customHeight="1" x14ac:dyDescent="0.2">
      <c r="A104" s="374"/>
      <c r="B104" s="19" t="str">
        <f t="shared" si="99"/>
        <v/>
      </c>
      <c r="C104" s="20" t="str">
        <f t="shared" si="99"/>
        <v/>
      </c>
      <c r="D104" s="15" t="str">
        <f t="shared" si="99"/>
        <v/>
      </c>
      <c r="E104" s="353"/>
      <c r="F104" s="15" t="str">
        <f t="shared" si="78"/>
        <v/>
      </c>
      <c r="G104" s="353"/>
      <c r="H104" s="15" t="str">
        <f t="shared" si="79"/>
        <v/>
      </c>
      <c r="I104" s="353"/>
      <c r="J104" s="15" t="str">
        <f t="shared" si="80"/>
        <v/>
      </c>
      <c r="K104" s="353"/>
      <c r="L104" s="15" t="str">
        <f t="shared" si="81"/>
        <v/>
      </c>
      <c r="M104" s="353"/>
      <c r="N104" s="15" t="str">
        <f t="shared" si="82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3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4"/>
        <v>0</v>
      </c>
      <c r="BE104" s="213">
        <f t="shared" si="85"/>
        <v>0</v>
      </c>
      <c r="BF104" s="215">
        <f t="shared" si="86"/>
        <v>0</v>
      </c>
      <c r="BG104" s="215">
        <f t="shared" si="87"/>
        <v>0</v>
      </c>
      <c r="BH104" s="215" t="str">
        <f t="shared" si="88"/>
        <v/>
      </c>
      <c r="BI104" s="215" t="str">
        <f t="shared" si="89"/>
        <v/>
      </c>
      <c r="BJ104" s="215" t="str">
        <f t="shared" si="90"/>
        <v/>
      </c>
      <c r="BK104" s="215" t="str">
        <f t="shared" si="91"/>
        <v/>
      </c>
      <c r="BL104" s="215" t="str">
        <f t="shared" si="92"/>
        <v/>
      </c>
      <c r="BM104" s="216"/>
      <c r="BN104" s="214"/>
      <c r="BO104" s="215">
        <f t="shared" si="93"/>
        <v>0</v>
      </c>
      <c r="BP104" s="215">
        <f t="shared" si="94"/>
        <v>0</v>
      </c>
      <c r="BQ104" s="215" t="str">
        <f t="shared" si="100"/>
        <v>Kings Club Bayreuth Land 3</v>
      </c>
      <c r="BR104" s="214">
        <f t="shared" si="95"/>
        <v>2</v>
      </c>
      <c r="BS104" s="215">
        <f t="shared" si="96"/>
        <v>0</v>
      </c>
      <c r="BT104" s="215">
        <f>IF(COUNTIF(BH104:BL104,"&gt;0")&lt;Spielorte!$A$23,0,BE104/Spielorte!$A$23)</f>
        <v>0</v>
      </c>
      <c r="BU104" s="215">
        <f t="shared" si="97"/>
        <v>0</v>
      </c>
      <c r="BV104" s="214">
        <f t="shared" si="98"/>
        <v>0</v>
      </c>
    </row>
    <row r="105" spans="1:74" ht="17.100000000000001" customHeight="1" thickBot="1" x14ac:dyDescent="0.25">
      <c r="A105" s="375"/>
      <c r="B105" s="21" t="str">
        <f t="shared" si="99"/>
        <v/>
      </c>
      <c r="C105" s="22" t="str">
        <f t="shared" si="99"/>
        <v/>
      </c>
      <c r="D105" s="9" t="str">
        <f t="shared" si="99"/>
        <v/>
      </c>
      <c r="E105" s="354"/>
      <c r="F105" s="9" t="str">
        <f t="shared" si="78"/>
        <v/>
      </c>
      <c r="G105" s="354"/>
      <c r="H105" s="9" t="str">
        <f t="shared" si="79"/>
        <v/>
      </c>
      <c r="I105" s="354"/>
      <c r="J105" s="9" t="str">
        <f t="shared" si="80"/>
        <v/>
      </c>
      <c r="K105" s="354"/>
      <c r="L105" s="9" t="str">
        <f t="shared" si="81"/>
        <v/>
      </c>
      <c r="M105" s="354"/>
      <c r="N105" s="9" t="str">
        <f t="shared" si="82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3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4"/>
        <v>0</v>
      </c>
      <c r="BE105" s="213">
        <f t="shared" si="85"/>
        <v>0</v>
      </c>
      <c r="BF105" s="215">
        <f t="shared" si="86"/>
        <v>0</v>
      </c>
      <c r="BG105" s="215">
        <f t="shared" si="87"/>
        <v>0</v>
      </c>
      <c r="BH105" s="215" t="str">
        <f t="shared" si="88"/>
        <v/>
      </c>
      <c r="BI105" s="215" t="str">
        <f t="shared" si="89"/>
        <v/>
      </c>
      <c r="BJ105" s="215" t="str">
        <f t="shared" si="90"/>
        <v/>
      </c>
      <c r="BK105" s="215" t="str">
        <f t="shared" si="91"/>
        <v/>
      </c>
      <c r="BL105" s="215" t="str">
        <f t="shared" si="92"/>
        <v/>
      </c>
      <c r="BM105" s="216"/>
      <c r="BN105" s="214"/>
      <c r="BO105" s="215">
        <f t="shared" si="93"/>
        <v>0</v>
      </c>
      <c r="BP105" s="215">
        <f t="shared" si="94"/>
        <v>0</v>
      </c>
      <c r="BQ105" s="215" t="str">
        <f t="shared" si="100"/>
        <v>Kings Club Bayreuth Land 3</v>
      </c>
      <c r="BR105" s="214">
        <f t="shared" si="95"/>
        <v>2</v>
      </c>
      <c r="BS105" s="215">
        <f t="shared" si="96"/>
        <v>0</v>
      </c>
      <c r="BT105" s="215">
        <f>IF(COUNTIF(BH105:BL105,"&gt;0")&lt;Spielorte!$A$23,0,BE105/Spielorte!$A$23)</f>
        <v>0</v>
      </c>
      <c r="BU105" s="215">
        <f t="shared" si="97"/>
        <v>0</v>
      </c>
      <c r="BV105" s="214">
        <f t="shared" si="98"/>
        <v>0</v>
      </c>
    </row>
    <row r="106" spans="1:74" ht="17.100000000000001" customHeight="1" x14ac:dyDescent="0.2">
      <c r="A106" s="373" t="s">
        <v>11</v>
      </c>
      <c r="B106" s="17" t="str">
        <f>IF(S106=0,"",S106)</f>
        <v>Eichner, Karl</v>
      </c>
      <c r="C106" s="18">
        <f t="shared" si="99"/>
        <v>7586</v>
      </c>
      <c r="D106" s="14">
        <f t="shared" si="99"/>
        <v>175</v>
      </c>
      <c r="E106" s="352">
        <f>IF(V106="","",V106)</f>
        <v>1</v>
      </c>
      <c r="F106" s="14">
        <f t="shared" si="78"/>
        <v>190</v>
      </c>
      <c r="G106" s="352">
        <f>IF(X106="","",X106)</f>
        <v>1</v>
      </c>
      <c r="H106" s="14">
        <f t="shared" si="79"/>
        <v>197</v>
      </c>
      <c r="I106" s="352">
        <f>IF(Z106="","",Z106)</f>
        <v>1</v>
      </c>
      <c r="J106" s="14">
        <f t="shared" si="80"/>
        <v>176</v>
      </c>
      <c r="K106" s="352">
        <f>IF(AB106="","",AB106)</f>
        <v>1</v>
      </c>
      <c r="L106" s="14">
        <f t="shared" si="81"/>
        <v>161</v>
      </c>
      <c r="M106" s="352">
        <f>IF(AD106="","",AD106)</f>
        <v>0</v>
      </c>
      <c r="N106" s="14">
        <f t="shared" si="82"/>
        <v>899</v>
      </c>
      <c r="O106" s="352">
        <f>IF(AF106="","",AF106)</f>
        <v>4</v>
      </c>
      <c r="R106" s="355" t="s">
        <v>11</v>
      </c>
      <c r="S106" s="68" t="str">
        <f>IF(T106=0,"",VLOOKUP(T106,Starter!$A$1:$D$196,2,FALSE))</f>
        <v>Eichner, Karl</v>
      </c>
      <c r="T106" s="178">
        <v>7586</v>
      </c>
      <c r="U106" s="186">
        <v>175</v>
      </c>
      <c r="V106" s="95">
        <f>IF(SUM(U106:U108)+U118=0,0,IF(ABS(SUM(U106:U108))=U118,0.5,IF(ABS(SUM(U106:U108))&gt;U118,1,0)))</f>
        <v>1</v>
      </c>
      <c r="W106" s="186">
        <v>190</v>
      </c>
      <c r="X106" s="95">
        <f>IF(SUM(W106:W108)+W118=0,0,IF(ABS(SUM(W106:W108))=W118,0.5,IF(ABS(SUM(W106:W108))&gt;W118,1,0)))</f>
        <v>1</v>
      </c>
      <c r="Y106" s="186">
        <v>197</v>
      </c>
      <c r="Z106" s="95">
        <f>IF(SUM(Y106:Y108)+Y118=0,0,IF(ABS(SUM(Y106:Y108))=Y118,0.5,IF(ABS(SUM(Y106:Y108))&gt;Y118,1,0)))</f>
        <v>1</v>
      </c>
      <c r="AA106" s="186">
        <v>176</v>
      </c>
      <c r="AB106" s="95">
        <f>IF(SUM(AA106:AA108)+AA118=0,0,IF(ABS(SUM(AA106:AA108))=AA118,0.5,IF(ABS(SUM(AA106:AA108))&gt;AA118,1,0)))</f>
        <v>1</v>
      </c>
      <c r="AC106" s="186">
        <v>161</v>
      </c>
      <c r="AD106" s="95">
        <f>IF(SUM(AC106:AC108)+AC118=0,0,IF(ABS(SUM(AC106:AC108))=AC118,0.5,IF(ABS(SUM(AC106:AC108))&gt;AC118,1,0)))</f>
        <v>0</v>
      </c>
      <c r="AE106" s="195">
        <f t="shared" si="83"/>
        <v>899</v>
      </c>
      <c r="AF106" s="180">
        <f>SUM(V106+X106+Z106+AB106+AD106)</f>
        <v>4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4"/>
        <v>7586</v>
      </c>
      <c r="BE106" s="213">
        <f t="shared" si="85"/>
        <v>899</v>
      </c>
      <c r="BF106" s="215">
        <f t="shared" si="86"/>
        <v>5</v>
      </c>
      <c r="BG106" s="215">
        <f t="shared" si="87"/>
        <v>5</v>
      </c>
      <c r="BH106" s="215">
        <f t="shared" si="88"/>
        <v>175</v>
      </c>
      <c r="BI106" s="215">
        <f t="shared" si="89"/>
        <v>190</v>
      </c>
      <c r="BJ106" s="215">
        <f t="shared" si="90"/>
        <v>197</v>
      </c>
      <c r="BK106" s="215">
        <f t="shared" si="91"/>
        <v>176</v>
      </c>
      <c r="BL106" s="215">
        <f t="shared" si="92"/>
        <v>161</v>
      </c>
      <c r="BM106" s="216"/>
      <c r="BN106" s="214"/>
      <c r="BO106" s="215">
        <f t="shared" si="93"/>
        <v>197</v>
      </c>
      <c r="BP106" s="215">
        <f t="shared" si="94"/>
        <v>0</v>
      </c>
      <c r="BQ106" s="215" t="str">
        <f t="shared" si="100"/>
        <v>Kings Club Bayreuth Land 3</v>
      </c>
      <c r="BR106" s="214">
        <f t="shared" si="95"/>
        <v>2</v>
      </c>
      <c r="BS106" s="215">
        <f t="shared" si="96"/>
        <v>899</v>
      </c>
      <c r="BT106" s="215">
        <f>IF(COUNTIF(BH106:BL106,"&gt;0")&lt;Spielorte!$A$23,0,BE106/Spielorte!$A$23)</f>
        <v>179.8</v>
      </c>
      <c r="BU106" s="215">
        <f t="shared" si="97"/>
        <v>0</v>
      </c>
      <c r="BV106" s="214">
        <f t="shared" si="98"/>
        <v>0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99"/>
        <v/>
      </c>
      <c r="D107" s="15" t="str">
        <f t="shared" si="99"/>
        <v/>
      </c>
      <c r="E107" s="353"/>
      <c r="F107" s="15" t="str">
        <f t="shared" si="78"/>
        <v/>
      </c>
      <c r="G107" s="353"/>
      <c r="H107" s="15" t="str">
        <f t="shared" si="79"/>
        <v/>
      </c>
      <c r="I107" s="353"/>
      <c r="J107" s="15" t="str">
        <f t="shared" si="80"/>
        <v/>
      </c>
      <c r="K107" s="353"/>
      <c r="L107" s="15" t="str">
        <f t="shared" si="81"/>
        <v/>
      </c>
      <c r="M107" s="353"/>
      <c r="N107" s="15" t="str">
        <f t="shared" si="82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3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4"/>
        <v>0</v>
      </c>
      <c r="BE107" s="213">
        <f t="shared" si="85"/>
        <v>0</v>
      </c>
      <c r="BF107" s="215">
        <f t="shared" si="86"/>
        <v>0</v>
      </c>
      <c r="BG107" s="215">
        <f t="shared" si="87"/>
        <v>0</v>
      </c>
      <c r="BH107" s="215" t="str">
        <f t="shared" si="88"/>
        <v/>
      </c>
      <c r="BI107" s="215" t="str">
        <f t="shared" si="89"/>
        <v/>
      </c>
      <c r="BJ107" s="215" t="str">
        <f t="shared" si="90"/>
        <v/>
      </c>
      <c r="BK107" s="215" t="str">
        <f t="shared" si="91"/>
        <v/>
      </c>
      <c r="BL107" s="215" t="str">
        <f t="shared" si="92"/>
        <v/>
      </c>
      <c r="BM107" s="216"/>
      <c r="BN107" s="214"/>
      <c r="BO107" s="215">
        <f t="shared" si="93"/>
        <v>0</v>
      </c>
      <c r="BP107" s="215">
        <f t="shared" si="94"/>
        <v>0</v>
      </c>
      <c r="BQ107" s="215" t="str">
        <f t="shared" si="100"/>
        <v>Kings Club Bayreuth Land 3</v>
      </c>
      <c r="BR107" s="214">
        <f t="shared" si="95"/>
        <v>2</v>
      </c>
      <c r="BS107" s="215">
        <f t="shared" si="96"/>
        <v>0</v>
      </c>
      <c r="BT107" s="215">
        <f>IF(COUNTIF(BH107:BL107,"&gt;0")&lt;Spielorte!$A$23,0,BE107/Spielorte!$A$23)</f>
        <v>0</v>
      </c>
      <c r="BU107" s="215">
        <f t="shared" si="97"/>
        <v>0</v>
      </c>
      <c r="BV107" s="214">
        <f t="shared" si="98"/>
        <v>0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99"/>
        <v/>
      </c>
      <c r="D108" s="9" t="str">
        <f t="shared" si="99"/>
        <v/>
      </c>
      <c r="E108" s="354"/>
      <c r="F108" s="9" t="str">
        <f t="shared" si="78"/>
        <v/>
      </c>
      <c r="G108" s="354"/>
      <c r="H108" s="9" t="str">
        <f t="shared" si="79"/>
        <v/>
      </c>
      <c r="I108" s="354"/>
      <c r="J108" s="9" t="str">
        <f t="shared" si="80"/>
        <v/>
      </c>
      <c r="K108" s="354"/>
      <c r="L108" s="9" t="str">
        <f t="shared" si="81"/>
        <v/>
      </c>
      <c r="M108" s="354"/>
      <c r="N108" s="9" t="str">
        <f t="shared" si="82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3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4"/>
        <v>0</v>
      </c>
      <c r="BE108" s="213">
        <f t="shared" si="85"/>
        <v>0</v>
      </c>
      <c r="BF108" s="215">
        <f t="shared" si="86"/>
        <v>0</v>
      </c>
      <c r="BG108" s="215">
        <f t="shared" si="87"/>
        <v>0</v>
      </c>
      <c r="BH108" s="215" t="str">
        <f t="shared" si="88"/>
        <v/>
      </c>
      <c r="BI108" s="215" t="str">
        <f t="shared" si="89"/>
        <v/>
      </c>
      <c r="BJ108" s="215" t="str">
        <f t="shared" si="90"/>
        <v/>
      </c>
      <c r="BK108" s="215" t="str">
        <f t="shared" si="91"/>
        <v/>
      </c>
      <c r="BL108" s="215" t="str">
        <f t="shared" si="92"/>
        <v/>
      </c>
      <c r="BM108" s="216"/>
      <c r="BN108" s="214"/>
      <c r="BO108" s="215">
        <f t="shared" si="93"/>
        <v>0</v>
      </c>
      <c r="BP108" s="215">
        <f t="shared" si="94"/>
        <v>0</v>
      </c>
      <c r="BQ108" s="215" t="str">
        <f t="shared" si="100"/>
        <v>Kings Club Bayreuth Land 3</v>
      </c>
      <c r="BR108" s="214">
        <f t="shared" si="95"/>
        <v>2</v>
      </c>
      <c r="BS108" s="215">
        <f t="shared" si="96"/>
        <v>0</v>
      </c>
      <c r="BT108" s="215">
        <f>IF(COUNTIF(BH108:BL108,"&gt;0")&lt;Spielorte!$A$23,0,BE108/Spielorte!$A$23)</f>
        <v>0</v>
      </c>
      <c r="BU108" s="215">
        <f t="shared" si="97"/>
        <v>0</v>
      </c>
      <c r="BV108" s="214">
        <f t="shared" si="98"/>
        <v>0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99"/>
        <v/>
      </c>
      <c r="D109" s="16">
        <f t="shared" si="99"/>
        <v>665</v>
      </c>
      <c r="E109" s="12">
        <f>IF(V109="","",V109)</f>
        <v>0</v>
      </c>
      <c r="F109" s="16">
        <f t="shared" si="78"/>
        <v>662</v>
      </c>
      <c r="G109" s="12">
        <f>IF(X109="","",X109)</f>
        <v>2</v>
      </c>
      <c r="H109" s="16">
        <f t="shared" si="79"/>
        <v>721</v>
      </c>
      <c r="I109" s="12">
        <f>IF(Z109="","",Z109)</f>
        <v>2</v>
      </c>
      <c r="J109" s="16">
        <f t="shared" si="80"/>
        <v>715</v>
      </c>
      <c r="K109" s="12">
        <f>IF(AB109="","",AB109)</f>
        <v>2</v>
      </c>
      <c r="L109" s="16">
        <f t="shared" si="81"/>
        <v>615</v>
      </c>
      <c r="M109" s="12">
        <f>IF(AD109="","",AD109)</f>
        <v>0</v>
      </c>
      <c r="N109" s="16">
        <f t="shared" si="82"/>
        <v>3378</v>
      </c>
      <c r="O109" s="12">
        <f>IF(AF109="","",AF109)</f>
        <v>6</v>
      </c>
      <c r="S109" s="11" t="s">
        <v>1791</v>
      </c>
      <c r="T109" s="71"/>
      <c r="U109" s="188">
        <f>ABS(SUM(U97:U99))+ABS(SUM(U100:U102))+ABS(SUM(U103:U105))+ABS(SUM(U106:U108))</f>
        <v>665</v>
      </c>
      <c r="V109" s="98">
        <f>IF(U109+U119=0,0,IF(U109=U119,1,IF(U109&gt;U119,2,0)))</f>
        <v>0</v>
      </c>
      <c r="W109" s="188">
        <f>ABS(SUM(W97:W99))+ABS(SUM(W100:W102))+ABS(SUM(W103:W105))+ABS(SUM(W106:W108))</f>
        <v>662</v>
      </c>
      <c r="X109" s="98">
        <f>IF(W109+W119=0,0,IF(W109=W119,1,IF(W109&gt;W119,2,0)))</f>
        <v>2</v>
      </c>
      <c r="Y109" s="188">
        <f>ABS(SUM(Y97:Y99))+ABS(SUM(Y100:Y102))+ABS(SUM(Y103:Y105))+ABS(SUM(Y106:Y108))</f>
        <v>721</v>
      </c>
      <c r="Z109" s="98">
        <f>IF(Y109+Y119=0,0,IF(Y109=Y119,1,IF(Y109&gt;Y119,2,0)))</f>
        <v>2</v>
      </c>
      <c r="AA109" s="188">
        <f>ABS(SUM(AA97:AA99))+ABS(SUM(AA100:AA102))+ABS(SUM(AA103:AA105))+ABS(SUM(AA106:AA108))</f>
        <v>715</v>
      </c>
      <c r="AB109" s="98">
        <f>IF(AA109+AA119=0,0,IF(AA109=AA119,1,IF(AA109&gt;AA119,2,0)))</f>
        <v>2</v>
      </c>
      <c r="AC109" s="188">
        <f>ABS(SUM(AC97:AC99))+ABS(SUM(AC100:AC102))+ABS(SUM(AC103:AC105))+ABS(SUM(AC106:AC108))</f>
        <v>615</v>
      </c>
      <c r="AD109" s="98">
        <f>IF(AC109+AC119=0,0,IF(AC109=AC119,1,IF(AC109&gt;AC119,2,0)))</f>
        <v>0</v>
      </c>
      <c r="AE109" s="198">
        <f>SUM(U109+W109+Y109+AA109+AC109)</f>
        <v>3378</v>
      </c>
      <c r="AF109" s="12">
        <f>SUM(V109+X109+Z109+AB109+AD109)</f>
        <v>6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99"/>
        <v/>
      </c>
      <c r="D110" s="1" t="str">
        <f t="shared" si="99"/>
        <v/>
      </c>
      <c r="E110" s="23">
        <f>IF(V110="","",V110)</f>
        <v>2</v>
      </c>
      <c r="F110" s="1" t="str">
        <f t="shared" si="78"/>
        <v/>
      </c>
      <c r="G110" s="23">
        <f>IF(X110="","",X110)</f>
        <v>5</v>
      </c>
      <c r="H110" s="1" t="str">
        <f t="shared" si="79"/>
        <v/>
      </c>
      <c r="I110" s="23">
        <f>IF(Z110="","",Z110)</f>
        <v>4</v>
      </c>
      <c r="J110" s="1" t="str">
        <f t="shared" si="80"/>
        <v/>
      </c>
      <c r="K110" s="23">
        <f>IF(AB110="","",AB110)</f>
        <v>4</v>
      </c>
      <c r="L110" s="1" t="str">
        <f t="shared" si="81"/>
        <v/>
      </c>
      <c r="M110" s="23">
        <f>IF(AD110="","",AD110)</f>
        <v>1</v>
      </c>
      <c r="N110" s="1" t="str">
        <f t="shared" si="82"/>
        <v/>
      </c>
      <c r="O110" s="23">
        <f>IF(AF110="","",AF110)</f>
        <v>16</v>
      </c>
      <c r="S110" s="8" t="s">
        <v>1802</v>
      </c>
      <c r="T110" s="1"/>
      <c r="U110" s="1"/>
      <c r="V110" s="72">
        <f>SUM(V97:V109)</f>
        <v>2</v>
      </c>
      <c r="W110" s="1"/>
      <c r="X110" s="72">
        <f>SUM(X97:X109)</f>
        <v>5</v>
      </c>
      <c r="Y110" s="1"/>
      <c r="Z110" s="72">
        <f>SUM(Z97:Z109)</f>
        <v>4</v>
      </c>
      <c r="AA110" s="1"/>
      <c r="AB110" s="72">
        <f>SUM(AB97:AB109)</f>
        <v>4</v>
      </c>
      <c r="AC110" s="1"/>
      <c r="AD110" s="72">
        <f>SUM(AD97:AD109)</f>
        <v>1</v>
      </c>
      <c r="AE110" s="1"/>
      <c r="AF110" s="72">
        <f>SUM(AF97:AF109)</f>
        <v>16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16</v>
      </c>
      <c r="BB110" s="213">
        <f>AE109</f>
        <v>3378</v>
      </c>
      <c r="BC110" s="214">
        <f>+S92</f>
        <v>4</v>
      </c>
      <c r="BF110" s="215">
        <f>SUM(BF91:BF109)</f>
        <v>20</v>
      </c>
      <c r="BM110" s="212">
        <f>+BB110/1000000+BA110</f>
        <v>16.003378000000001</v>
      </c>
      <c r="BN110" s="214">
        <f>RANK(BM110,BM:BM)</f>
        <v>2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K114" si="101">IF(S112=0,"",S112)</f>
        <v>Gegner-Nr.:</v>
      </c>
      <c r="C112" s="5" t="str">
        <f t="shared" si="101"/>
        <v>&gt;&gt;&gt;&gt;</v>
      </c>
      <c r="D112" s="350">
        <f t="shared" si="101"/>
        <v>1</v>
      </c>
      <c r="E112" s="350" t="str">
        <f t="shared" si="101"/>
        <v/>
      </c>
      <c r="F112" s="350">
        <f t="shared" si="101"/>
        <v>5</v>
      </c>
      <c r="G112" s="350" t="str">
        <f t="shared" si="101"/>
        <v/>
      </c>
      <c r="H112" s="350">
        <f t="shared" si="101"/>
        <v>3</v>
      </c>
      <c r="I112" s="350" t="str">
        <f t="shared" si="101"/>
        <v/>
      </c>
      <c r="J112" s="350">
        <f t="shared" si="101"/>
        <v>2</v>
      </c>
      <c r="K112" s="350" t="str">
        <f t="shared" si="101"/>
        <v/>
      </c>
      <c r="L112" s="350">
        <f t="shared" ref="L112:M114" si="102">IF(AC112=0,"",AC112)</f>
        <v>6</v>
      </c>
      <c r="M112" s="350" t="str">
        <f t="shared" si="102"/>
        <v/>
      </c>
      <c r="N112" s="351"/>
      <c r="O112" s="351"/>
      <c r="S112" s="13" t="s">
        <v>1789</v>
      </c>
      <c r="T112" s="5" t="s">
        <v>1790</v>
      </c>
      <c r="U112" s="369">
        <f>VLOOKUP($S92,Schlüssel!$A$5:$DG$10,43)</f>
        <v>1</v>
      </c>
      <c r="V112" s="370"/>
      <c r="W112" s="369">
        <f>VLOOKUP($S92,Schlüssel!$A$5:$EK$10,44)</f>
        <v>5</v>
      </c>
      <c r="X112" s="370"/>
      <c r="Y112" s="369">
        <f>VLOOKUP($S92,Schlüssel!$A$5:$EK$10,45)</f>
        <v>3</v>
      </c>
      <c r="Z112" s="370"/>
      <c r="AA112" s="369">
        <f>VLOOKUP($S92,Schlüssel!$A$5:$EK$10,46)</f>
        <v>2</v>
      </c>
      <c r="AB112" s="370"/>
      <c r="AC112" s="369">
        <f>VLOOKUP($S92,Schlüssel!$A$5:$EK$10,47)</f>
        <v>6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si="101"/>
        <v/>
      </c>
      <c r="C113" s="1" t="str">
        <f t="shared" si="101"/>
        <v/>
      </c>
      <c r="D113" s="347" t="str">
        <f t="shared" si="101"/>
        <v>Castra Regina Regensburg 3</v>
      </c>
      <c r="E113" s="348" t="str">
        <f t="shared" si="101"/>
        <v/>
      </c>
      <c r="F113" s="347" t="str">
        <f t="shared" si="101"/>
        <v>Castra Regina Regensburg 2</v>
      </c>
      <c r="G113" s="348" t="str">
        <f t="shared" si="101"/>
        <v/>
      </c>
      <c r="H113" s="347" t="str">
        <f t="shared" si="101"/>
        <v>Kings Club Bayreuth Land 2</v>
      </c>
      <c r="I113" s="348" t="str">
        <f t="shared" si="101"/>
        <v/>
      </c>
      <c r="J113" s="347" t="str">
        <f t="shared" si="101"/>
        <v>Herzogenaurach 1</v>
      </c>
      <c r="K113" s="348" t="str">
        <f t="shared" si="101"/>
        <v/>
      </c>
      <c r="L113" s="347" t="str">
        <f t="shared" si="102"/>
        <v>Adler Nürnberg 1</v>
      </c>
      <c r="M113" s="348" t="str">
        <f t="shared" si="102"/>
        <v/>
      </c>
      <c r="N113" s="349"/>
      <c r="O113" s="349"/>
      <c r="S113" s="4"/>
      <c r="T113" s="1"/>
      <c r="U113" s="347" t="str">
        <f>VLOOKUP(U112,Schlüssel!$A$5:$K$10,2)</f>
        <v>Castra Regina Regensburg 3</v>
      </c>
      <c r="V113" s="348"/>
      <c r="W113" s="347" t="str">
        <f>VLOOKUP(W112,Schlüssel!$A$5:$K$10,2)</f>
        <v>Castra Regina Regensburg 2</v>
      </c>
      <c r="X113" s="348"/>
      <c r="Y113" s="347" t="str">
        <f>VLOOKUP(Y112,Schlüssel!$A$5:$K$10,2)</f>
        <v>Kings Club Bayreuth Land 2</v>
      </c>
      <c r="Z113" s="348"/>
      <c r="AA113" s="347" t="str">
        <f>VLOOKUP(AA112,Schlüssel!$A$5:$K$10,2)</f>
        <v>Herzogenaurach 1</v>
      </c>
      <c r="AB113" s="348"/>
      <c r="AC113" s="347" t="str">
        <f>VLOOKUP(AC112,Schlüssel!$A$5:$K$10,2)</f>
        <v>Adler Nürnberg 1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1"/>
        <v/>
      </c>
      <c r="C114" s="1" t="str">
        <f t="shared" si="101"/>
        <v/>
      </c>
      <c r="D114" s="346" t="str">
        <f t="shared" si="101"/>
        <v/>
      </c>
      <c r="E114" s="346" t="str">
        <f t="shared" si="101"/>
        <v/>
      </c>
      <c r="F114" s="346" t="str">
        <f t="shared" si="101"/>
        <v/>
      </c>
      <c r="G114" s="346" t="str">
        <f t="shared" si="101"/>
        <v/>
      </c>
      <c r="H114" s="346" t="str">
        <f t="shared" si="101"/>
        <v/>
      </c>
      <c r="I114" s="346" t="str">
        <f t="shared" si="101"/>
        <v/>
      </c>
      <c r="J114" s="346" t="str">
        <f t="shared" si="101"/>
        <v/>
      </c>
      <c r="K114" s="346" t="str">
        <f t="shared" si="101"/>
        <v/>
      </c>
      <c r="L114" s="346" t="str">
        <f t="shared" si="102"/>
        <v/>
      </c>
      <c r="M114" s="346" t="str">
        <f t="shared" si="102"/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ref="B115:C119" si="103">IF(S115=0,"",S115)</f>
        <v>Spieler 1</v>
      </c>
      <c r="C115" s="372" t="str">
        <f t="shared" si="103"/>
        <v/>
      </c>
      <c r="D115" s="344">
        <f>IF(U115=301,"",U115)</f>
        <v>152</v>
      </c>
      <c r="E115" s="344" t="str">
        <f>IF(V115=0,"",V115)</f>
        <v/>
      </c>
      <c r="F115" s="344">
        <f>IF(W115=301,"",W115)</f>
        <v>177</v>
      </c>
      <c r="G115" s="344" t="str">
        <f>IF(X115=0,"",X115)</f>
        <v/>
      </c>
      <c r="H115" s="344">
        <f>IF(Y115=301,"",Y115)</f>
        <v>188</v>
      </c>
      <c r="I115" s="344" t="str">
        <f>IF(Z115=0,"",Z115)</f>
        <v/>
      </c>
      <c r="J115" s="344">
        <f>IF(AA115=301,"",AA115)</f>
        <v>179</v>
      </c>
      <c r="K115" s="344" t="str">
        <f>IF(AB115=0,"",AB115)</f>
        <v/>
      </c>
      <c r="L115" s="344">
        <f>IF(AC115=301,"",AC115)</f>
        <v>147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152</v>
      </c>
      <c r="V115" s="368"/>
      <c r="W115" s="367">
        <f>ABS(INDEX(W:W,MATCH(W112,$S:$S,0)+5)+INDEX(W:W,MATCH(W112,$S:$S,0)+6)+INDEX(W:W,MATCH(W112,$S:$S,0)+7))</f>
        <v>177</v>
      </c>
      <c r="X115" s="368"/>
      <c r="Y115" s="367">
        <f>ABS(INDEX(Y:Y,MATCH(Y112,$S:$S,0)+5)+INDEX(Y:Y,MATCH(Y112,$S:$S,0)+6)+INDEX(Y:Y,MATCH(Y112,$S:$S,0)+7))</f>
        <v>188</v>
      </c>
      <c r="Z115" s="368"/>
      <c r="AA115" s="367">
        <f>ABS(INDEX(AA:AA,MATCH(AA112,$S:$S,0)+5)+INDEX(AA:AA,MATCH(AA112,$S:$S,0)+6)+INDEX(AA:AA,MATCH(AA112,$S:$S,0)+7))</f>
        <v>179</v>
      </c>
      <c r="AB115" s="368"/>
      <c r="AC115" s="367">
        <f>ABS(INDEX(AC:AC,MATCH(AC112,$S:$S,0)+5)+INDEX(AC:AC,MATCH(AC112,$S:$S,0)+6)+INDEX(AC:AC,MATCH(AC112,$S:$S,0)+7))</f>
        <v>147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3"/>
        <v>Spieler 2</v>
      </c>
      <c r="C116" s="372" t="str">
        <f t="shared" si="103"/>
        <v/>
      </c>
      <c r="D116" s="344">
        <f>IF(U116=301,"",U116)</f>
        <v>154</v>
      </c>
      <c r="E116" s="344" t="str">
        <f>IF(V116=0,"",V116)</f>
        <v/>
      </c>
      <c r="F116" s="344">
        <f>IF(W116=301,"",W116)</f>
        <v>134</v>
      </c>
      <c r="G116" s="344" t="str">
        <f>IF(X116=0,"",X116)</f>
        <v/>
      </c>
      <c r="H116" s="344">
        <f>IF(Y116=301,"",Y116)</f>
        <v>145</v>
      </c>
      <c r="I116" s="344" t="str">
        <f>IF(Z116=0,"",Z116)</f>
        <v/>
      </c>
      <c r="J116" s="344">
        <f>IF(AA116=301,"",AA116)</f>
        <v>160</v>
      </c>
      <c r="K116" s="344" t="str">
        <f>IF(AB116=0,"",AB116)</f>
        <v/>
      </c>
      <c r="L116" s="344">
        <f>IF(AC116=301,"",AC116)</f>
        <v>161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154</v>
      </c>
      <c r="V116" s="366"/>
      <c r="W116" s="365">
        <f>ABS(INDEX(W:W,MATCH(W112,$S:$S,0)+8)+INDEX(W:W,MATCH(W112,$S:$S,0)+9)+INDEX(W:W,MATCH(W112,$S:$S,0)+10))</f>
        <v>134</v>
      </c>
      <c r="X116" s="366"/>
      <c r="Y116" s="365">
        <f>ABS(INDEX(Y:Y,MATCH(Y112,$S:$S,0)+8)+INDEX(Y:Y,MATCH(Y112,$S:$S,0)+9)+INDEX(Y:Y,MATCH(Y112,$S:$S,0)+10))</f>
        <v>145</v>
      </c>
      <c r="Z116" s="366"/>
      <c r="AA116" s="365">
        <f>ABS(INDEX(AA:AA,MATCH(AA112,$S:$S,0)+8)+INDEX(AA:AA,MATCH(AA112,$S:$S,0)+9)+INDEX(AA:AA,MATCH(AA112,$S:$S,0)+10))</f>
        <v>160</v>
      </c>
      <c r="AB116" s="366"/>
      <c r="AC116" s="365">
        <f>ABS(INDEX(AC:AC,MATCH(AC112,$S:$S,0)+8)+INDEX(AC:AC,MATCH(AC112,$S:$S,0)+9)+INDEX(AC:AC,MATCH(AC112,$S:$S,0)+10))</f>
        <v>161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3"/>
        <v>Spieler 3</v>
      </c>
      <c r="C117" s="372" t="str">
        <f t="shared" si="103"/>
        <v/>
      </c>
      <c r="D117" s="344">
        <f>IF(U117=301,"",U117)</f>
        <v>193</v>
      </c>
      <c r="E117" s="344" t="str">
        <f>IF(V117=0,"",V117)</f>
        <v/>
      </c>
      <c r="F117" s="344">
        <f>IF(W117=301,"",W117)</f>
        <v>158</v>
      </c>
      <c r="G117" s="344" t="str">
        <f>IF(X117=0,"",X117)</f>
        <v/>
      </c>
      <c r="H117" s="344">
        <f>IF(Y117=301,"",Y117)</f>
        <v>175</v>
      </c>
      <c r="I117" s="344" t="str">
        <f>IF(Z117=0,"",Z117)</f>
        <v/>
      </c>
      <c r="J117" s="344">
        <f>IF(AA117=301,"",AA117)</f>
        <v>183</v>
      </c>
      <c r="K117" s="344" t="str">
        <f>IF(AB117=0,"",AB117)</f>
        <v/>
      </c>
      <c r="L117" s="344">
        <f>IF(AC117=301,"",AC117)</f>
        <v>164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193</v>
      </c>
      <c r="V117" s="366"/>
      <c r="W117" s="365">
        <f>ABS(INDEX(W:W,MATCH(W112,$S:$S,0)+11)+INDEX(W:W,MATCH(W112,$S:$S,0)+12)+INDEX(W:W,MATCH(W112,$S:$S,0)+13))</f>
        <v>158</v>
      </c>
      <c r="X117" s="366"/>
      <c r="Y117" s="365">
        <f>ABS(INDEX(Y:Y,MATCH(Y112,$S:$S,0)+11)+INDEX(Y:Y,MATCH(Y112,$S:$S,0)+12)+INDEX(Y:Y,MATCH(Y112,$S:$S,0)+13))</f>
        <v>175</v>
      </c>
      <c r="Z117" s="366"/>
      <c r="AA117" s="365">
        <f>ABS(INDEX(AA:AA,MATCH(AA112,$S:$S,0)+11)+INDEX(AA:AA,MATCH(AA112,$S:$S,0)+12)+INDEX(AA:AA,MATCH(AA112,$S:$S,0)+13))</f>
        <v>183</v>
      </c>
      <c r="AB117" s="366"/>
      <c r="AC117" s="365">
        <f>ABS(INDEX(AC:AC,MATCH(AC112,$S:$S,0)+11)+INDEX(AC:AC,MATCH(AC112,$S:$S,0)+12)+INDEX(AC:AC,MATCH(AC112,$S:$S,0)+13))</f>
        <v>164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3"/>
        <v>Spieler 4</v>
      </c>
      <c r="C118" s="372" t="str">
        <f t="shared" si="103"/>
        <v/>
      </c>
      <c r="D118" s="344">
        <f>IF(U118=301,"",U118)</f>
        <v>167</v>
      </c>
      <c r="E118" s="344" t="str">
        <f>IF(V118=0,"",V118)</f>
        <v/>
      </c>
      <c r="F118" s="344">
        <f>IF(W118=301,"",W118)</f>
        <v>178</v>
      </c>
      <c r="G118" s="344" t="str">
        <f>IF(X118=0,"",X118)</f>
        <v/>
      </c>
      <c r="H118" s="344">
        <f>IF(Y118=301,"",Y118)</f>
        <v>144</v>
      </c>
      <c r="I118" s="344" t="str">
        <f>IF(Z118=0,"",Z118)</f>
        <v/>
      </c>
      <c r="J118" s="344">
        <f>IF(AA118=301,"",AA118)</f>
        <v>175</v>
      </c>
      <c r="K118" s="344" t="str">
        <f>IF(AB118=0,"",AB118)</f>
        <v/>
      </c>
      <c r="L118" s="344">
        <f>IF(AC118=301,"",AC118)</f>
        <v>186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167</v>
      </c>
      <c r="V118" s="366"/>
      <c r="W118" s="365">
        <f>ABS(INDEX(W:W,MATCH(W112,$S:$S,0)+14)+INDEX(W:W,MATCH(W112,$S:$S,0)+15)+INDEX(W:W,MATCH(W112,$S:$S,0)+16))</f>
        <v>178</v>
      </c>
      <c r="X118" s="366"/>
      <c r="Y118" s="365">
        <f>ABS(INDEX(Y:Y,MATCH(Y112,$S:$S,0)+14)+INDEX(Y:Y,MATCH(Y112,$S:$S,0)+15)+INDEX(Y:Y,MATCH(Y112,$S:$S,0)+16))</f>
        <v>144</v>
      </c>
      <c r="Z118" s="366"/>
      <c r="AA118" s="365">
        <f>ABS(INDEX(AA:AA,MATCH(AA112,$S:$S,0)+14)+INDEX(AA:AA,MATCH(AA112,$S:$S,0)+15)+INDEX(AA:AA,MATCH(AA112,$S:$S,0)+16))</f>
        <v>175</v>
      </c>
      <c r="AB118" s="366"/>
      <c r="AC118" s="365">
        <f>ABS(INDEX(AC:AC,MATCH(AC112,$S:$S,0)+14)+INDEX(AC:AC,MATCH(AC112,$S:$S,0)+15)+INDEX(AC:AC,MATCH(AC112,$S:$S,0)+16))</f>
        <v>186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3"/>
        <v>Gesamt</v>
      </c>
      <c r="C119" s="360" t="str">
        <f t="shared" si="103"/>
        <v/>
      </c>
      <c r="D119" s="343">
        <f>IF(U119=1505,"",U119)</f>
        <v>666</v>
      </c>
      <c r="E119" s="343" t="str">
        <f>IF(V119=0,"",V119)</f>
        <v/>
      </c>
      <c r="F119" s="343">
        <f>IF(W119=1505,"",W119)</f>
        <v>647</v>
      </c>
      <c r="G119" s="343" t="str">
        <f>IF(X119=0,"",X119)</f>
        <v/>
      </c>
      <c r="H119" s="343">
        <f>IF(Y119=1505,"",Y119)</f>
        <v>652</v>
      </c>
      <c r="I119" s="343" t="str">
        <f>IF(Z119=0,"",Z119)</f>
        <v/>
      </c>
      <c r="J119" s="343">
        <f>IF(AA119=1505,"",AA119)</f>
        <v>697</v>
      </c>
      <c r="K119" s="343" t="str">
        <f>IF(AB119=0,"",AB119)</f>
        <v/>
      </c>
      <c r="L119" s="343">
        <f>IF(AC119=1505,"",AC119)</f>
        <v>658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666</v>
      </c>
      <c r="V119" s="360"/>
      <c r="W119" s="359">
        <f>SUM(W115:W118)</f>
        <v>647</v>
      </c>
      <c r="X119" s="360"/>
      <c r="Y119" s="359">
        <f>SUM(Y115:Y118)</f>
        <v>652</v>
      </c>
      <c r="Z119" s="360"/>
      <c r="AA119" s="359">
        <f>SUM(AA115:AA118)</f>
        <v>697</v>
      </c>
      <c r="AB119" s="360"/>
      <c r="AC119" s="359">
        <f>SUM(AC115:AC118)</f>
        <v>658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 t="str">
        <f>AD121</f>
        <v>16.02.</v>
      </c>
      <c r="N121" s="376"/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Schlüssel!$BA$1</f>
        <v>16.02.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">
        <v>1786</v>
      </c>
      <c r="E122" s="84" t="str">
        <f>V122</f>
        <v>Nürnberg West Bowling</v>
      </c>
      <c r="F122" s="77"/>
      <c r="G122" s="77"/>
      <c r="H122" s="77"/>
      <c r="I122" s="77"/>
      <c r="J122" s="77"/>
      <c r="K122" s="77" t="str">
        <f>AC122</f>
        <v>Spieltag:</v>
      </c>
      <c r="L122" s="29"/>
      <c r="M122" s="86">
        <f>AD122</f>
        <v>3</v>
      </c>
      <c r="N122" s="28"/>
      <c r="R122" s="49"/>
      <c r="S122" s="50">
        <v>5</v>
      </c>
      <c r="U122" s="30" t="s">
        <v>1786</v>
      </c>
      <c r="V122" s="84" t="str">
        <f>Schlüssel!$AQ$2</f>
        <v>Nürnberg West Bowling</v>
      </c>
      <c r="X122" s="77"/>
      <c r="Y122" s="77"/>
      <c r="Z122" s="77"/>
      <c r="AA122" s="77"/>
      <c r="AB122" s="77"/>
      <c r="AC122" s="29" t="s">
        <v>1784</v>
      </c>
      <c r="AD122" s="34">
        <v>3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VLOOKUP(S122,Schlüssel!$A$5:$DZ$10,53)</f>
        <v>13</v>
      </c>
      <c r="W124" s="193" t="s">
        <v>10</v>
      </c>
      <c r="X124" s="191">
        <f>VLOOKUP(S122,Schlüssel!$A$5:$DZ$10,54)</f>
        <v>16</v>
      </c>
      <c r="Y124" s="193" t="s">
        <v>10</v>
      </c>
      <c r="Z124" s="191">
        <f>VLOOKUP(S122,Schlüssel!$A$5:$DZ$10,55)</f>
        <v>11</v>
      </c>
      <c r="AA124" s="193" t="s">
        <v>10</v>
      </c>
      <c r="AB124" s="191">
        <f>VLOOKUP(S122,Schlüssel!$A$5:$DZ$10,56)</f>
        <v>13</v>
      </c>
      <c r="AC124" s="193" t="s">
        <v>10</v>
      </c>
      <c r="AD124" s="192">
        <f>VLOOKUP(S122,Schlüssel!$A$5:$DZ$10,57)</f>
        <v>16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>Zehendner, Lukas</v>
      </c>
      <c r="C127" s="18">
        <f>IF(T127=0,"",T127)</f>
        <v>38260</v>
      </c>
      <c r="D127" s="14">
        <f>IF(U127=0,"",U127)</f>
        <v>201</v>
      </c>
      <c r="E127" s="352">
        <f>IF(V127="","",V127)</f>
        <v>1</v>
      </c>
      <c r="F127" s="14">
        <f t="shared" ref="F127:F140" si="104">IF(W127=0,"",W127)</f>
        <v>177</v>
      </c>
      <c r="G127" s="352">
        <f>IF(X127="","",X127)</f>
        <v>1</v>
      </c>
      <c r="H127" s="14">
        <f t="shared" ref="H127:H140" si="105">IF(Y127=0,"",Y127)</f>
        <v>171</v>
      </c>
      <c r="I127" s="352">
        <f>IF(Z127="","",Z127)</f>
        <v>1</v>
      </c>
      <c r="J127" s="14">
        <f t="shared" ref="J127:J140" si="106">IF(AA127=0,"",AA127)</f>
        <v>200</v>
      </c>
      <c r="K127" s="352">
        <f>IF(AB127="","",AB127)</f>
        <v>1</v>
      </c>
      <c r="L127" s="14">
        <f t="shared" ref="L127:L140" si="107">IF(AC127=0,"",AC127)</f>
        <v>200</v>
      </c>
      <c r="M127" s="352">
        <f>IF(AD127="","",AD127)</f>
        <v>1</v>
      </c>
      <c r="N127" s="14">
        <f t="shared" ref="N127:N140" si="108">IF(AE127=0,"",AE127)</f>
        <v>949</v>
      </c>
      <c r="O127" s="352">
        <f>IF(AF127="","",AF127)</f>
        <v>5</v>
      </c>
      <c r="R127" s="355" t="s">
        <v>0</v>
      </c>
      <c r="S127" s="68" t="str">
        <f>IF(T127=0,"",VLOOKUP(T127,Starter!$A$1:$D$196,2,FALSE))</f>
        <v>Zehendner, Lukas</v>
      </c>
      <c r="T127" s="175">
        <v>38260</v>
      </c>
      <c r="U127" s="183">
        <v>201</v>
      </c>
      <c r="V127" s="95">
        <f>IF(SUM(U127:U129)+U145=0,0,IF(ABS(SUM(U127:U129))=U145,0.5,IF(ABS(SUM(U127:U129))&gt;U145,1,0)))</f>
        <v>1</v>
      </c>
      <c r="W127" s="183">
        <v>177</v>
      </c>
      <c r="X127" s="95">
        <f>IF(SUM(W127:W129)+W145=0,0,IF(ABS(SUM(W127:W129))=W145,0.5,IF(ABS(SUM(W127:W129))&gt;W145,1,0)))</f>
        <v>1</v>
      </c>
      <c r="Y127" s="183">
        <v>171</v>
      </c>
      <c r="Z127" s="95">
        <f>IF(SUM(Y127:Y129)+Y145=0,0,IF(ABS(SUM(Y127:Y129))=Y145,0.5,IF(ABS(SUM(Y127:Y129))&gt;Y145,1,0)))</f>
        <v>1</v>
      </c>
      <c r="AA127" s="189">
        <v>200</v>
      </c>
      <c r="AB127" s="95">
        <f>IF(SUM(AA127:AA129)+AA145=0,0,IF(ABS(SUM(AA127:AA129))=AA145,0.5,IF(ABS(SUM(AA127:AA129))&gt;AA145,1,0)))</f>
        <v>1</v>
      </c>
      <c r="AC127" s="183">
        <v>200</v>
      </c>
      <c r="AD127" s="95">
        <f>IF(SUM(AC127:AC129)+AC145=0,0,IF(ABS(SUM(AC127:AC129))=AC145,0.5,IF(ABS(SUM(AC127:AC129))&gt;AC145,1,0)))</f>
        <v>1</v>
      </c>
      <c r="AE127" s="195">
        <f t="shared" ref="AE127:AE138" si="109">ABS(SUM(U127:U127))+ABS(SUM(W127:W127))+ABS(SUM(Y127:Y127))+ABS(SUM(AA127:AA127))+ABS(SUM(AC127:AC127))</f>
        <v>949</v>
      </c>
      <c r="AF127" s="180">
        <f>SUM(V127+X127+Z127+AB127+AD127)</f>
        <v>5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0">T127</f>
        <v>38260</v>
      </c>
      <c r="BE127" s="213">
        <f t="shared" ref="BE127:BE138" si="111">AE127</f>
        <v>949</v>
      </c>
      <c r="BF127" s="215">
        <f t="shared" ref="BF127:BF138" si="112">COUNT(BH127:BL127)</f>
        <v>5</v>
      </c>
      <c r="BG127" s="215">
        <f t="shared" ref="BG127:BG138" si="113">COUNTIF(BH127:BL127,"&gt;0")</f>
        <v>5</v>
      </c>
      <c r="BH127" s="215">
        <f t="shared" ref="BH127:BH138" si="114">IF(U127=0,"",U127)</f>
        <v>201</v>
      </c>
      <c r="BI127" s="215">
        <f t="shared" ref="BI127:BI138" si="115">IF(W127=0,"",W127)</f>
        <v>177</v>
      </c>
      <c r="BJ127" s="215">
        <f t="shared" ref="BJ127:BJ138" si="116">IF(Y127=0,"",Y127)</f>
        <v>171</v>
      </c>
      <c r="BK127" s="215">
        <f t="shared" ref="BK127:BK138" si="117">IF(AA127=0,"",AA127)</f>
        <v>200</v>
      </c>
      <c r="BL127" s="215">
        <f t="shared" ref="BL127:BL138" si="118">IF(AC127=0,"",AC127)</f>
        <v>200</v>
      </c>
      <c r="BM127" s="216"/>
      <c r="BN127" s="214"/>
      <c r="BO127" s="215">
        <f t="shared" ref="BO127:BO138" si="119">MAX(BH127:BL127)</f>
        <v>201</v>
      </c>
      <c r="BP127" s="215">
        <f t="shared" ref="BP127:BP138" si="120">IF(BO127&lt;MAX(BO:BO),0,BO127+ROW()/1000000000)</f>
        <v>0</v>
      </c>
      <c r="BQ127" s="215" t="str">
        <f>+S123</f>
        <v>Castra Regina Regensburg 2</v>
      </c>
      <c r="BR127" s="214">
        <f t="shared" ref="BR127:BR138" si="121">RANK(BP127,BP:BP)</f>
        <v>2</v>
      </c>
      <c r="BS127" s="215">
        <f t="shared" ref="BS127:BS138" si="122">SUMIF(BH127:BL127,"&gt;0")</f>
        <v>949</v>
      </c>
      <c r="BT127" s="215">
        <f>IF(COUNTIF(BH127:BL127,"&gt;0")&lt;Spielorte!$A$23,0,BE127/Spielorte!$A$23)</f>
        <v>189.8</v>
      </c>
      <c r="BU127" s="215">
        <f t="shared" ref="BU127:BU138" si="123">IF(BT127&lt;MAX(BT:BT),0,BT127+ROW()/1000000000)</f>
        <v>189.800000127</v>
      </c>
      <c r="BV127" s="214">
        <f t="shared" ref="BV127:BV138" si="124">IF(BU127=0,0,RANK(BU127,BU:BU))</f>
        <v>1</v>
      </c>
    </row>
    <row r="128" spans="1:74" ht="17.100000000000001" customHeight="1" x14ac:dyDescent="0.2">
      <c r="A128" s="374"/>
      <c r="B128" s="19" t="str">
        <f t="shared" ref="B128:D140" si="125">IF(S128=0,"",S128)</f>
        <v/>
      </c>
      <c r="C128" s="20" t="str">
        <f t="shared" si="125"/>
        <v/>
      </c>
      <c r="D128" s="15" t="str">
        <f t="shared" si="125"/>
        <v/>
      </c>
      <c r="E128" s="353"/>
      <c r="F128" s="15" t="str">
        <f t="shared" si="104"/>
        <v/>
      </c>
      <c r="G128" s="353"/>
      <c r="H128" s="15" t="str">
        <f t="shared" si="105"/>
        <v/>
      </c>
      <c r="I128" s="353"/>
      <c r="J128" s="15" t="str">
        <f t="shared" si="106"/>
        <v/>
      </c>
      <c r="K128" s="353"/>
      <c r="L128" s="15" t="str">
        <f t="shared" si="107"/>
        <v/>
      </c>
      <c r="M128" s="353"/>
      <c r="N128" s="15" t="str">
        <f t="shared" si="108"/>
        <v/>
      </c>
      <c r="O128" s="353"/>
      <c r="R128" s="356"/>
      <c r="S128" s="68" t="str">
        <f>IF(T128=0,"",VLOOKUP(T128,Starter!$A$1:$D$196,2,FALSE))</f>
        <v/>
      </c>
      <c r="T128" s="176"/>
      <c r="U128" s="184"/>
      <c r="V128" s="96"/>
      <c r="W128" s="184"/>
      <c r="X128" s="96"/>
      <c r="Y128" s="184"/>
      <c r="Z128" s="96"/>
      <c r="AA128" s="184"/>
      <c r="AB128" s="96"/>
      <c r="AC128" s="184"/>
      <c r="AD128" s="96"/>
      <c r="AE128" s="196">
        <f t="shared" si="109"/>
        <v>0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0"/>
        <v>0</v>
      </c>
      <c r="BE128" s="213">
        <f t="shared" si="111"/>
        <v>0</v>
      </c>
      <c r="BF128" s="215">
        <f t="shared" si="112"/>
        <v>0</v>
      </c>
      <c r="BG128" s="215">
        <f t="shared" si="113"/>
        <v>0</v>
      </c>
      <c r="BH128" s="215" t="str">
        <f t="shared" si="114"/>
        <v/>
      </c>
      <c r="BI128" s="215" t="str">
        <f t="shared" si="115"/>
        <v/>
      </c>
      <c r="BJ128" s="215" t="str">
        <f t="shared" si="116"/>
        <v/>
      </c>
      <c r="BK128" s="215" t="str">
        <f t="shared" si="117"/>
        <v/>
      </c>
      <c r="BL128" s="215" t="str">
        <f t="shared" si="118"/>
        <v/>
      </c>
      <c r="BM128" s="216"/>
      <c r="BN128" s="214"/>
      <c r="BO128" s="215">
        <f t="shared" si="119"/>
        <v>0</v>
      </c>
      <c r="BP128" s="215">
        <f t="shared" si="120"/>
        <v>0</v>
      </c>
      <c r="BQ128" s="215" t="str">
        <f t="shared" ref="BQ128:BQ138" si="126">+BQ127</f>
        <v>Castra Regina Regensburg 2</v>
      </c>
      <c r="BR128" s="214">
        <f t="shared" si="121"/>
        <v>2</v>
      </c>
      <c r="BS128" s="215">
        <f t="shared" si="122"/>
        <v>0</v>
      </c>
      <c r="BT128" s="215">
        <f>IF(COUNTIF(BH128:BL128,"&gt;0")&lt;Spielorte!$A$23,0,BE128/Spielorte!$A$23)</f>
        <v>0</v>
      </c>
      <c r="BU128" s="215">
        <f t="shared" si="123"/>
        <v>0</v>
      </c>
      <c r="BV128" s="214">
        <f t="shared" si="124"/>
        <v>0</v>
      </c>
    </row>
    <row r="129" spans="1:74" ht="17.100000000000001" customHeight="1" thickBot="1" x14ac:dyDescent="0.25">
      <c r="A129" s="375"/>
      <c r="B129" s="21" t="str">
        <f t="shared" si="125"/>
        <v/>
      </c>
      <c r="C129" s="22" t="str">
        <f t="shared" si="125"/>
        <v/>
      </c>
      <c r="D129" s="9" t="str">
        <f t="shared" si="125"/>
        <v/>
      </c>
      <c r="E129" s="354"/>
      <c r="F129" s="9" t="str">
        <f t="shared" si="104"/>
        <v/>
      </c>
      <c r="G129" s="354"/>
      <c r="H129" s="9" t="str">
        <f t="shared" si="105"/>
        <v/>
      </c>
      <c r="I129" s="354"/>
      <c r="J129" s="9" t="str">
        <f t="shared" si="106"/>
        <v/>
      </c>
      <c r="K129" s="354"/>
      <c r="L129" s="9" t="str">
        <f t="shared" si="107"/>
        <v/>
      </c>
      <c r="M129" s="354"/>
      <c r="N129" s="9" t="str">
        <f t="shared" si="108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09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0"/>
        <v>0</v>
      </c>
      <c r="BE129" s="213">
        <f t="shared" si="111"/>
        <v>0</v>
      </c>
      <c r="BF129" s="215">
        <f t="shared" si="112"/>
        <v>0</v>
      </c>
      <c r="BG129" s="215">
        <f t="shared" si="113"/>
        <v>0</v>
      </c>
      <c r="BH129" s="215" t="str">
        <f t="shared" si="114"/>
        <v/>
      </c>
      <c r="BI129" s="215" t="str">
        <f t="shared" si="115"/>
        <v/>
      </c>
      <c r="BJ129" s="215" t="str">
        <f t="shared" si="116"/>
        <v/>
      </c>
      <c r="BK129" s="215" t="str">
        <f t="shared" si="117"/>
        <v/>
      </c>
      <c r="BL129" s="215" t="str">
        <f t="shared" si="118"/>
        <v/>
      </c>
      <c r="BM129" s="216"/>
      <c r="BN129" s="214"/>
      <c r="BO129" s="215">
        <f t="shared" si="119"/>
        <v>0</v>
      </c>
      <c r="BP129" s="215">
        <f t="shared" si="120"/>
        <v>0</v>
      </c>
      <c r="BQ129" s="215" t="str">
        <f t="shared" si="126"/>
        <v>Castra Regina Regensburg 2</v>
      </c>
      <c r="BR129" s="214">
        <f t="shared" si="121"/>
        <v>2</v>
      </c>
      <c r="BS129" s="215">
        <f t="shared" si="122"/>
        <v>0</v>
      </c>
      <c r="BT129" s="215">
        <f>IF(COUNTIF(BH129:BL129,"&gt;0")&lt;Spielorte!$A$23,0,BE129/Spielorte!$A$23)</f>
        <v>0</v>
      </c>
      <c r="BU129" s="215">
        <f t="shared" si="123"/>
        <v>0</v>
      </c>
      <c r="BV129" s="214">
        <f t="shared" si="124"/>
        <v>0</v>
      </c>
    </row>
    <row r="130" spans="1:74" ht="17.100000000000001" customHeight="1" x14ac:dyDescent="0.2">
      <c r="A130" s="373" t="s">
        <v>2</v>
      </c>
      <c r="B130" s="17" t="str">
        <f t="shared" si="125"/>
        <v>Martin, Dennis</v>
      </c>
      <c r="C130" s="18">
        <f t="shared" si="125"/>
        <v>38870</v>
      </c>
      <c r="D130" s="14">
        <f t="shared" si="125"/>
        <v>134</v>
      </c>
      <c r="E130" s="352">
        <f>IF(V130="","",V130)</f>
        <v>0</v>
      </c>
      <c r="F130" s="14">
        <f t="shared" si="104"/>
        <v>134</v>
      </c>
      <c r="G130" s="352">
        <f>IF(X130="","",X130)</f>
        <v>0</v>
      </c>
      <c r="H130" s="14">
        <f t="shared" si="105"/>
        <v>136</v>
      </c>
      <c r="I130" s="352">
        <f>IF(Z130="","",Z130)</f>
        <v>0</v>
      </c>
      <c r="J130" s="14">
        <f t="shared" si="106"/>
        <v>158</v>
      </c>
      <c r="K130" s="352">
        <f>IF(AB130="","",AB130)</f>
        <v>0</v>
      </c>
      <c r="L130" s="14">
        <f t="shared" si="107"/>
        <v>157</v>
      </c>
      <c r="M130" s="352">
        <f>IF(AD130="","",AD130)</f>
        <v>0</v>
      </c>
      <c r="N130" s="14">
        <f t="shared" si="108"/>
        <v>719</v>
      </c>
      <c r="O130" s="352">
        <f>IF(AF130="","",AF130)</f>
        <v>0</v>
      </c>
      <c r="R130" s="355" t="s">
        <v>2</v>
      </c>
      <c r="S130" s="68" t="str">
        <f>IF(T130=0,"",VLOOKUP(T130,Starter!$A$1:$D$196,2,FALSE))</f>
        <v>Martin, Dennis</v>
      </c>
      <c r="T130" s="178">
        <v>38870</v>
      </c>
      <c r="U130" s="186">
        <v>134</v>
      </c>
      <c r="V130" s="95">
        <f>IF(SUM(U130:U132)+U146=0,0,IF(ABS(SUM(U130:U132))=U146,0.5,IF(ABS(SUM(U130:U132))&gt;U146,1,0)))</f>
        <v>0</v>
      </c>
      <c r="W130" s="186">
        <v>134</v>
      </c>
      <c r="X130" s="95">
        <f>IF(SUM(W130:W132)+W146=0,0,IF(ABS(SUM(W130:W132))=W146,0.5,IF(ABS(SUM(W130:W132))&gt;W146,1,0)))</f>
        <v>0</v>
      </c>
      <c r="Y130" s="186">
        <v>136</v>
      </c>
      <c r="Z130" s="95">
        <f>IF(SUM(Y130:Y132)+Y146=0,0,IF(ABS(SUM(Y130:Y132))=Y146,0.5,IF(ABS(SUM(Y130:Y132))&gt;Y146,1,0)))</f>
        <v>0</v>
      </c>
      <c r="AA130" s="186">
        <v>158</v>
      </c>
      <c r="AB130" s="95">
        <f>IF(SUM(AA130:AA132)+AA146=0,0,IF(ABS(SUM(AA130:AA132))=AA146,0.5,IF(ABS(SUM(AA130:AA132))&gt;AA146,1,0)))</f>
        <v>0</v>
      </c>
      <c r="AC130" s="186">
        <v>157</v>
      </c>
      <c r="AD130" s="95">
        <f>IF(SUM(AC130:AC132)+AC146=0,0,IF(ABS(SUM(AC130:AC132))=AC146,0.5,IF(ABS(SUM(AC130:AC132))&gt;AC146,1,0)))</f>
        <v>0</v>
      </c>
      <c r="AE130" s="195">
        <f t="shared" si="109"/>
        <v>719</v>
      </c>
      <c r="AF130" s="180">
        <f>SUM(V130+X130+Z130+AB130+AD130)</f>
        <v>0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0"/>
        <v>38870</v>
      </c>
      <c r="BE130" s="213">
        <f t="shared" si="111"/>
        <v>719</v>
      </c>
      <c r="BF130" s="215">
        <f t="shared" si="112"/>
        <v>5</v>
      </c>
      <c r="BG130" s="215">
        <f t="shared" si="113"/>
        <v>5</v>
      </c>
      <c r="BH130" s="215">
        <f t="shared" si="114"/>
        <v>134</v>
      </c>
      <c r="BI130" s="215">
        <f t="shared" si="115"/>
        <v>134</v>
      </c>
      <c r="BJ130" s="215">
        <f t="shared" si="116"/>
        <v>136</v>
      </c>
      <c r="BK130" s="215">
        <f t="shared" si="117"/>
        <v>158</v>
      </c>
      <c r="BL130" s="215">
        <f t="shared" si="118"/>
        <v>157</v>
      </c>
      <c r="BM130" s="216"/>
      <c r="BN130" s="214"/>
      <c r="BO130" s="215">
        <f t="shared" si="119"/>
        <v>158</v>
      </c>
      <c r="BP130" s="215">
        <f t="shared" si="120"/>
        <v>0</v>
      </c>
      <c r="BQ130" s="215" t="str">
        <f t="shared" si="126"/>
        <v>Castra Regina Regensburg 2</v>
      </c>
      <c r="BR130" s="214">
        <f t="shared" si="121"/>
        <v>2</v>
      </c>
      <c r="BS130" s="215">
        <f t="shared" si="122"/>
        <v>719</v>
      </c>
      <c r="BT130" s="215">
        <f>IF(COUNTIF(BH130:BL130,"&gt;0")&lt;Spielorte!$A$23,0,BE130/Spielorte!$A$23)</f>
        <v>143.80000000000001</v>
      </c>
      <c r="BU130" s="215">
        <f t="shared" si="123"/>
        <v>0</v>
      </c>
      <c r="BV130" s="214">
        <f t="shared" si="124"/>
        <v>0</v>
      </c>
    </row>
    <row r="131" spans="1:74" ht="17.100000000000001" customHeight="1" x14ac:dyDescent="0.2">
      <c r="A131" s="374"/>
      <c r="B131" s="19" t="str">
        <f t="shared" si="125"/>
        <v/>
      </c>
      <c r="C131" s="20" t="str">
        <f t="shared" si="125"/>
        <v/>
      </c>
      <c r="D131" s="15" t="str">
        <f t="shared" si="125"/>
        <v/>
      </c>
      <c r="E131" s="353"/>
      <c r="F131" s="15" t="str">
        <f t="shared" si="104"/>
        <v/>
      </c>
      <c r="G131" s="353"/>
      <c r="H131" s="15" t="str">
        <f t="shared" si="105"/>
        <v/>
      </c>
      <c r="I131" s="353"/>
      <c r="J131" s="15" t="str">
        <f t="shared" si="106"/>
        <v/>
      </c>
      <c r="K131" s="353"/>
      <c r="L131" s="15" t="str">
        <f t="shared" si="107"/>
        <v/>
      </c>
      <c r="M131" s="353"/>
      <c r="N131" s="15" t="str">
        <f t="shared" si="108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09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0"/>
        <v>0</v>
      </c>
      <c r="BE131" s="213">
        <f t="shared" si="111"/>
        <v>0</v>
      </c>
      <c r="BF131" s="215">
        <f t="shared" si="112"/>
        <v>0</v>
      </c>
      <c r="BG131" s="215">
        <f t="shared" si="113"/>
        <v>0</v>
      </c>
      <c r="BH131" s="215" t="str">
        <f t="shared" si="114"/>
        <v/>
      </c>
      <c r="BI131" s="215" t="str">
        <f t="shared" si="115"/>
        <v/>
      </c>
      <c r="BJ131" s="215" t="str">
        <f t="shared" si="116"/>
        <v/>
      </c>
      <c r="BK131" s="215" t="str">
        <f t="shared" si="117"/>
        <v/>
      </c>
      <c r="BL131" s="215" t="str">
        <f t="shared" si="118"/>
        <v/>
      </c>
      <c r="BM131" s="216"/>
      <c r="BN131" s="214"/>
      <c r="BO131" s="215">
        <f t="shared" si="119"/>
        <v>0</v>
      </c>
      <c r="BP131" s="215">
        <f t="shared" si="120"/>
        <v>0</v>
      </c>
      <c r="BQ131" s="215" t="str">
        <f t="shared" si="126"/>
        <v>Castra Regina Regensburg 2</v>
      </c>
      <c r="BR131" s="214">
        <f t="shared" si="121"/>
        <v>2</v>
      </c>
      <c r="BS131" s="215">
        <f t="shared" si="122"/>
        <v>0</v>
      </c>
      <c r="BT131" s="215">
        <f>IF(COUNTIF(BH131:BL131,"&gt;0")&lt;Spielorte!$A$23,0,BE131/Spielorte!$A$23)</f>
        <v>0</v>
      </c>
      <c r="BU131" s="215">
        <f t="shared" si="123"/>
        <v>0</v>
      </c>
      <c r="BV131" s="214">
        <f t="shared" si="124"/>
        <v>0</v>
      </c>
    </row>
    <row r="132" spans="1:74" ht="17.100000000000001" customHeight="1" thickBot="1" x14ac:dyDescent="0.25">
      <c r="A132" s="375"/>
      <c r="B132" s="21" t="str">
        <f t="shared" si="125"/>
        <v/>
      </c>
      <c r="C132" s="22" t="str">
        <f t="shared" si="125"/>
        <v/>
      </c>
      <c r="D132" s="9" t="str">
        <f t="shared" si="125"/>
        <v/>
      </c>
      <c r="E132" s="354"/>
      <c r="F132" s="9" t="str">
        <f t="shared" si="104"/>
        <v/>
      </c>
      <c r="G132" s="354"/>
      <c r="H132" s="9" t="str">
        <f t="shared" si="105"/>
        <v/>
      </c>
      <c r="I132" s="354"/>
      <c r="J132" s="9" t="str">
        <f t="shared" si="106"/>
        <v/>
      </c>
      <c r="K132" s="354"/>
      <c r="L132" s="9" t="str">
        <f t="shared" si="107"/>
        <v/>
      </c>
      <c r="M132" s="354"/>
      <c r="N132" s="9" t="str">
        <f t="shared" si="108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09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0"/>
        <v>0</v>
      </c>
      <c r="BE132" s="213">
        <f t="shared" si="111"/>
        <v>0</v>
      </c>
      <c r="BF132" s="215">
        <f t="shared" si="112"/>
        <v>0</v>
      </c>
      <c r="BG132" s="215">
        <f t="shared" si="113"/>
        <v>0</v>
      </c>
      <c r="BH132" s="215" t="str">
        <f t="shared" si="114"/>
        <v/>
      </c>
      <c r="BI132" s="215" t="str">
        <f t="shared" si="115"/>
        <v/>
      </c>
      <c r="BJ132" s="215" t="str">
        <f t="shared" si="116"/>
        <v/>
      </c>
      <c r="BK132" s="215" t="str">
        <f t="shared" si="117"/>
        <v/>
      </c>
      <c r="BL132" s="215" t="str">
        <f t="shared" si="118"/>
        <v/>
      </c>
      <c r="BM132" s="216"/>
      <c r="BN132" s="214"/>
      <c r="BO132" s="215">
        <f t="shared" si="119"/>
        <v>0</v>
      </c>
      <c r="BP132" s="215">
        <f t="shared" si="120"/>
        <v>0</v>
      </c>
      <c r="BQ132" s="215" t="str">
        <f t="shared" si="126"/>
        <v>Castra Regina Regensburg 2</v>
      </c>
      <c r="BR132" s="214">
        <f t="shared" si="121"/>
        <v>2</v>
      </c>
      <c r="BS132" s="215">
        <f t="shared" si="122"/>
        <v>0</v>
      </c>
      <c r="BT132" s="215">
        <f>IF(COUNTIF(BH132:BL132,"&gt;0")&lt;Spielorte!$A$23,0,BE132/Spielorte!$A$23)</f>
        <v>0</v>
      </c>
      <c r="BU132" s="215">
        <f t="shared" si="123"/>
        <v>0</v>
      </c>
      <c r="BV132" s="214">
        <f t="shared" si="124"/>
        <v>0</v>
      </c>
    </row>
    <row r="133" spans="1:74" ht="17.100000000000001" customHeight="1" x14ac:dyDescent="0.2">
      <c r="A133" s="373" t="s">
        <v>3</v>
      </c>
      <c r="B133" s="17" t="str">
        <f t="shared" si="125"/>
        <v>Graml, Christian</v>
      </c>
      <c r="C133" s="18">
        <f t="shared" si="125"/>
        <v>7809</v>
      </c>
      <c r="D133" s="14">
        <f t="shared" si="125"/>
        <v>155</v>
      </c>
      <c r="E133" s="352">
        <f>IF(V133="","",V133)</f>
        <v>1</v>
      </c>
      <c r="F133" s="14">
        <f t="shared" si="104"/>
        <v>158</v>
      </c>
      <c r="G133" s="352">
        <f>IF(X133="","",X133)</f>
        <v>0</v>
      </c>
      <c r="H133" s="14" t="str">
        <f t="shared" si="105"/>
        <v/>
      </c>
      <c r="I133" s="352">
        <f>IF(Z133="","",Z133)</f>
        <v>1</v>
      </c>
      <c r="J133" s="14" t="str">
        <f t="shared" si="106"/>
        <v/>
      </c>
      <c r="K133" s="352">
        <f>IF(AB133="","",AB133)</f>
        <v>0</v>
      </c>
      <c r="L133" s="14" t="str">
        <f t="shared" si="107"/>
        <v/>
      </c>
      <c r="M133" s="352">
        <f>IF(AD133="","",AD133)</f>
        <v>0</v>
      </c>
      <c r="N133" s="14">
        <f t="shared" si="108"/>
        <v>313</v>
      </c>
      <c r="O133" s="352">
        <f>IF(AF133="","",AF133)</f>
        <v>2</v>
      </c>
      <c r="R133" s="355" t="s">
        <v>3</v>
      </c>
      <c r="S133" s="68" t="str">
        <f>IF(T133=0,"",VLOOKUP(T133,Starter!$A$1:$D$196,2,FALSE))</f>
        <v>Graml, Christian</v>
      </c>
      <c r="T133" s="178">
        <v>7809</v>
      </c>
      <c r="U133" s="186">
        <v>155</v>
      </c>
      <c r="V133" s="95">
        <f>IF(SUM(U133:U135)+U147=0,0,IF(ABS(SUM(U133:U135))=U147,0.5,IF(ABS(SUM(U133:U135))&gt;U147,1,0)))</f>
        <v>1</v>
      </c>
      <c r="W133" s="186">
        <v>158</v>
      </c>
      <c r="X133" s="95">
        <f>IF(SUM(W133:W135)+W147=0,0,IF(ABS(SUM(W133:W135))=W147,0.5,IF(ABS(SUM(W133:W135))&gt;W147,1,0)))</f>
        <v>0</v>
      </c>
      <c r="Y133" s="186"/>
      <c r="Z133" s="95">
        <f>IF(SUM(Y133:Y135)+Y147=0,0,IF(ABS(SUM(Y133:Y135))=Y147,0.5,IF(ABS(SUM(Y133:Y135))&gt;Y147,1,0)))</f>
        <v>1</v>
      </c>
      <c r="AA133" s="186"/>
      <c r="AB133" s="95">
        <f>IF(SUM(AA133:AA135)+AA147=0,0,IF(ABS(SUM(AA133:AA135))=AA147,0.5,IF(ABS(SUM(AA133:AA135))&gt;AA147,1,0)))</f>
        <v>0</v>
      </c>
      <c r="AC133" s="186"/>
      <c r="AD133" s="95">
        <f>IF(SUM(AC133:AC135)+AC147=0,0,IF(ABS(SUM(AC133:AC135))=AC147,0.5,IF(ABS(SUM(AC133:AC135))&gt;AC147,1,0)))</f>
        <v>0</v>
      </c>
      <c r="AE133" s="195">
        <f t="shared" si="109"/>
        <v>313</v>
      </c>
      <c r="AF133" s="180">
        <f>SUM(V133+X133+Z133+AB133+AD133)</f>
        <v>2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0"/>
        <v>7809</v>
      </c>
      <c r="BE133" s="213">
        <f t="shared" si="111"/>
        <v>313</v>
      </c>
      <c r="BF133" s="215">
        <f t="shared" si="112"/>
        <v>2</v>
      </c>
      <c r="BG133" s="215">
        <f t="shared" si="113"/>
        <v>2</v>
      </c>
      <c r="BH133" s="215">
        <f t="shared" si="114"/>
        <v>155</v>
      </c>
      <c r="BI133" s="215">
        <f t="shared" si="115"/>
        <v>158</v>
      </c>
      <c r="BJ133" s="215" t="str">
        <f t="shared" si="116"/>
        <v/>
      </c>
      <c r="BK133" s="215" t="str">
        <f t="shared" si="117"/>
        <v/>
      </c>
      <c r="BL133" s="215" t="str">
        <f t="shared" si="118"/>
        <v/>
      </c>
      <c r="BM133" s="216"/>
      <c r="BN133" s="214"/>
      <c r="BO133" s="215">
        <f t="shared" si="119"/>
        <v>158</v>
      </c>
      <c r="BP133" s="215">
        <f t="shared" si="120"/>
        <v>0</v>
      </c>
      <c r="BQ133" s="215" t="str">
        <f t="shared" si="126"/>
        <v>Castra Regina Regensburg 2</v>
      </c>
      <c r="BR133" s="214">
        <f t="shared" si="121"/>
        <v>2</v>
      </c>
      <c r="BS133" s="215">
        <f t="shared" si="122"/>
        <v>313</v>
      </c>
      <c r="BT133" s="215">
        <f>IF(COUNTIF(BH133:BL133,"&gt;0")&lt;Spielorte!$A$23,0,BE133/Spielorte!$A$23)</f>
        <v>0</v>
      </c>
      <c r="BU133" s="215">
        <f t="shared" si="123"/>
        <v>0</v>
      </c>
      <c r="BV133" s="214">
        <f t="shared" si="124"/>
        <v>0</v>
      </c>
    </row>
    <row r="134" spans="1:74" ht="17.100000000000001" customHeight="1" x14ac:dyDescent="0.2">
      <c r="A134" s="374"/>
      <c r="B134" s="19" t="str">
        <f t="shared" si="125"/>
        <v>Gilch, Stefan</v>
      </c>
      <c r="C134" s="20">
        <f t="shared" si="125"/>
        <v>25895</v>
      </c>
      <c r="D134" s="15" t="str">
        <f t="shared" si="125"/>
        <v/>
      </c>
      <c r="E134" s="353"/>
      <c r="F134" s="15" t="str">
        <f t="shared" si="104"/>
        <v/>
      </c>
      <c r="G134" s="353"/>
      <c r="H134" s="15">
        <f t="shared" si="105"/>
        <v>193</v>
      </c>
      <c r="I134" s="353"/>
      <c r="J134" s="15">
        <f t="shared" si="106"/>
        <v>145</v>
      </c>
      <c r="K134" s="353"/>
      <c r="L134" s="15">
        <f t="shared" si="107"/>
        <v>189</v>
      </c>
      <c r="M134" s="353"/>
      <c r="N134" s="15">
        <f t="shared" si="108"/>
        <v>527</v>
      </c>
      <c r="O134" s="353"/>
      <c r="R134" s="356"/>
      <c r="S134" s="68" t="str">
        <f>IF(T134=0,"",VLOOKUP(T134,Starter!$A$1:$D$196,2,FALSE))</f>
        <v>Gilch, Stefan</v>
      </c>
      <c r="T134" s="176">
        <v>25895</v>
      </c>
      <c r="U134" s="184"/>
      <c r="V134" s="96"/>
      <c r="W134" s="184"/>
      <c r="X134" s="96"/>
      <c r="Y134" s="184">
        <v>193</v>
      </c>
      <c r="Z134" s="96"/>
      <c r="AA134" s="184">
        <v>145</v>
      </c>
      <c r="AB134" s="96"/>
      <c r="AC134" s="184">
        <v>189</v>
      </c>
      <c r="AD134" s="96"/>
      <c r="AE134" s="196">
        <f t="shared" si="109"/>
        <v>527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0"/>
        <v>25895</v>
      </c>
      <c r="BE134" s="213">
        <f t="shared" si="111"/>
        <v>527</v>
      </c>
      <c r="BF134" s="215">
        <f t="shared" si="112"/>
        <v>3</v>
      </c>
      <c r="BG134" s="215">
        <f t="shared" si="113"/>
        <v>3</v>
      </c>
      <c r="BH134" s="215" t="str">
        <f t="shared" si="114"/>
        <v/>
      </c>
      <c r="BI134" s="215" t="str">
        <f t="shared" si="115"/>
        <v/>
      </c>
      <c r="BJ134" s="215">
        <f t="shared" si="116"/>
        <v>193</v>
      </c>
      <c r="BK134" s="215">
        <f t="shared" si="117"/>
        <v>145</v>
      </c>
      <c r="BL134" s="215">
        <f t="shared" si="118"/>
        <v>189</v>
      </c>
      <c r="BM134" s="216"/>
      <c r="BN134" s="214"/>
      <c r="BO134" s="215">
        <f t="shared" si="119"/>
        <v>193</v>
      </c>
      <c r="BP134" s="215">
        <f t="shared" si="120"/>
        <v>0</v>
      </c>
      <c r="BQ134" s="215" t="str">
        <f t="shared" si="126"/>
        <v>Castra Regina Regensburg 2</v>
      </c>
      <c r="BR134" s="214">
        <f t="shared" si="121"/>
        <v>2</v>
      </c>
      <c r="BS134" s="215">
        <f t="shared" si="122"/>
        <v>527</v>
      </c>
      <c r="BT134" s="215">
        <f>IF(COUNTIF(BH134:BL134,"&gt;0")&lt;Spielorte!$A$23,0,BE134/Spielorte!$A$23)</f>
        <v>0</v>
      </c>
      <c r="BU134" s="215">
        <f t="shared" si="123"/>
        <v>0</v>
      </c>
      <c r="BV134" s="214">
        <f t="shared" si="124"/>
        <v>0</v>
      </c>
    </row>
    <row r="135" spans="1:74" ht="17.100000000000001" customHeight="1" thickBot="1" x14ac:dyDescent="0.25">
      <c r="A135" s="375"/>
      <c r="B135" s="21" t="str">
        <f t="shared" si="125"/>
        <v/>
      </c>
      <c r="C135" s="22" t="str">
        <f t="shared" si="125"/>
        <v/>
      </c>
      <c r="D135" s="9" t="str">
        <f t="shared" si="125"/>
        <v/>
      </c>
      <c r="E135" s="354"/>
      <c r="F135" s="9" t="str">
        <f t="shared" si="104"/>
        <v/>
      </c>
      <c r="G135" s="354"/>
      <c r="H135" s="9" t="str">
        <f t="shared" si="105"/>
        <v/>
      </c>
      <c r="I135" s="354"/>
      <c r="J135" s="9" t="str">
        <f t="shared" si="106"/>
        <v/>
      </c>
      <c r="K135" s="354"/>
      <c r="L135" s="9" t="str">
        <f t="shared" si="107"/>
        <v/>
      </c>
      <c r="M135" s="354"/>
      <c r="N135" s="9" t="str">
        <f t="shared" si="108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09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0"/>
        <v>0</v>
      </c>
      <c r="BE135" s="213">
        <f t="shared" si="111"/>
        <v>0</v>
      </c>
      <c r="BF135" s="215">
        <f t="shared" si="112"/>
        <v>0</v>
      </c>
      <c r="BG135" s="215">
        <f t="shared" si="113"/>
        <v>0</v>
      </c>
      <c r="BH135" s="215" t="str">
        <f t="shared" si="114"/>
        <v/>
      </c>
      <c r="BI135" s="215" t="str">
        <f t="shared" si="115"/>
        <v/>
      </c>
      <c r="BJ135" s="215" t="str">
        <f t="shared" si="116"/>
        <v/>
      </c>
      <c r="BK135" s="215" t="str">
        <f t="shared" si="117"/>
        <v/>
      </c>
      <c r="BL135" s="215" t="str">
        <f t="shared" si="118"/>
        <v/>
      </c>
      <c r="BM135" s="216"/>
      <c r="BN135" s="214"/>
      <c r="BO135" s="215">
        <f t="shared" si="119"/>
        <v>0</v>
      </c>
      <c r="BP135" s="215">
        <f t="shared" si="120"/>
        <v>0</v>
      </c>
      <c r="BQ135" s="215" t="str">
        <f t="shared" si="126"/>
        <v>Castra Regina Regensburg 2</v>
      </c>
      <c r="BR135" s="214">
        <f t="shared" si="121"/>
        <v>2</v>
      </c>
      <c r="BS135" s="215">
        <f t="shared" si="122"/>
        <v>0</v>
      </c>
      <c r="BT135" s="215">
        <f>IF(COUNTIF(BH135:BL135,"&gt;0")&lt;Spielorte!$A$23,0,BE135/Spielorte!$A$23)</f>
        <v>0</v>
      </c>
      <c r="BU135" s="215">
        <f t="shared" si="123"/>
        <v>0</v>
      </c>
      <c r="BV135" s="214">
        <f t="shared" si="124"/>
        <v>0</v>
      </c>
    </row>
    <row r="136" spans="1:74" ht="17.100000000000001" customHeight="1" x14ac:dyDescent="0.2">
      <c r="A136" s="373" t="s">
        <v>11</v>
      </c>
      <c r="B136" s="17" t="str">
        <f>IF(S136=0,"",S136)</f>
        <v>Humbs, Martin</v>
      </c>
      <c r="C136" s="18">
        <f t="shared" si="125"/>
        <v>38046</v>
      </c>
      <c r="D136" s="14">
        <f t="shared" si="125"/>
        <v>206</v>
      </c>
      <c r="E136" s="352">
        <f>IF(V136="","",V136)</f>
        <v>1</v>
      </c>
      <c r="F136" s="14">
        <f t="shared" si="104"/>
        <v>178</v>
      </c>
      <c r="G136" s="352">
        <f>IF(X136="","",X136)</f>
        <v>0</v>
      </c>
      <c r="H136" s="14">
        <f t="shared" si="105"/>
        <v>223</v>
      </c>
      <c r="I136" s="352">
        <f>IF(Z136="","",Z136)</f>
        <v>1</v>
      </c>
      <c r="J136" s="14">
        <f t="shared" si="106"/>
        <v>160</v>
      </c>
      <c r="K136" s="352">
        <f>IF(AB136="","",AB136)</f>
        <v>0</v>
      </c>
      <c r="L136" s="14">
        <f t="shared" si="107"/>
        <v>177</v>
      </c>
      <c r="M136" s="352">
        <f>IF(AD136="","",AD136)</f>
        <v>0</v>
      </c>
      <c r="N136" s="14">
        <f t="shared" si="108"/>
        <v>944</v>
      </c>
      <c r="O136" s="352">
        <f>IF(AF136="","",AF136)</f>
        <v>2</v>
      </c>
      <c r="R136" s="355" t="s">
        <v>11</v>
      </c>
      <c r="S136" s="68" t="str">
        <f>IF(T136=0,"",VLOOKUP(T136,Starter!$A$1:$D$196,2,FALSE))</f>
        <v>Humbs, Martin</v>
      </c>
      <c r="T136" s="178">
        <v>38046</v>
      </c>
      <c r="U136" s="186">
        <v>206</v>
      </c>
      <c r="V136" s="95">
        <f>IF(SUM(U136:U138)+U148=0,0,IF(ABS(SUM(U136:U138))=U148,0.5,IF(ABS(SUM(U136:U138))&gt;U148,1,0)))</f>
        <v>1</v>
      </c>
      <c r="W136" s="186">
        <v>178</v>
      </c>
      <c r="X136" s="95">
        <f>IF(SUM(W136:W138)+W148=0,0,IF(ABS(SUM(W136:W138))=W148,0.5,IF(ABS(SUM(W136:W138))&gt;W148,1,0)))</f>
        <v>0</v>
      </c>
      <c r="Y136" s="186">
        <v>223</v>
      </c>
      <c r="Z136" s="95">
        <f>IF(SUM(Y136:Y138)+Y148=0,0,IF(ABS(SUM(Y136:Y138))=Y148,0.5,IF(ABS(SUM(Y136:Y138))&gt;Y148,1,0)))</f>
        <v>1</v>
      </c>
      <c r="AA136" s="186">
        <v>160</v>
      </c>
      <c r="AB136" s="95">
        <f>IF(SUM(AA136:AA138)+AA148=0,0,IF(ABS(SUM(AA136:AA138))=AA148,0.5,IF(ABS(SUM(AA136:AA138))&gt;AA148,1,0)))</f>
        <v>0</v>
      </c>
      <c r="AC136" s="186">
        <v>177</v>
      </c>
      <c r="AD136" s="95">
        <f>IF(SUM(AC136:AC138)+AC148=0,0,IF(ABS(SUM(AC136:AC138))=AC148,0.5,IF(ABS(SUM(AC136:AC138))&gt;AC148,1,0)))</f>
        <v>0</v>
      </c>
      <c r="AE136" s="195">
        <f t="shared" si="109"/>
        <v>944</v>
      </c>
      <c r="AF136" s="180">
        <f>SUM(V136+X136+Z136+AB136+AD136)</f>
        <v>2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0"/>
        <v>38046</v>
      </c>
      <c r="BE136" s="213">
        <f t="shared" si="111"/>
        <v>944</v>
      </c>
      <c r="BF136" s="215">
        <f t="shared" si="112"/>
        <v>5</v>
      </c>
      <c r="BG136" s="215">
        <f t="shared" si="113"/>
        <v>5</v>
      </c>
      <c r="BH136" s="215">
        <f t="shared" si="114"/>
        <v>206</v>
      </c>
      <c r="BI136" s="215">
        <f t="shared" si="115"/>
        <v>178</v>
      </c>
      <c r="BJ136" s="215">
        <f t="shared" si="116"/>
        <v>223</v>
      </c>
      <c r="BK136" s="215">
        <f t="shared" si="117"/>
        <v>160</v>
      </c>
      <c r="BL136" s="215">
        <f t="shared" si="118"/>
        <v>177</v>
      </c>
      <c r="BM136" s="216"/>
      <c r="BN136" s="214"/>
      <c r="BO136" s="215">
        <f t="shared" si="119"/>
        <v>223</v>
      </c>
      <c r="BP136" s="215">
        <f t="shared" si="120"/>
        <v>0</v>
      </c>
      <c r="BQ136" s="215" t="str">
        <f t="shared" si="126"/>
        <v>Castra Regina Regensburg 2</v>
      </c>
      <c r="BR136" s="214">
        <f t="shared" si="121"/>
        <v>2</v>
      </c>
      <c r="BS136" s="215">
        <f t="shared" si="122"/>
        <v>944</v>
      </c>
      <c r="BT136" s="215">
        <f>IF(COUNTIF(BH136:BL136,"&gt;0")&lt;Spielorte!$A$23,0,BE136/Spielorte!$A$23)</f>
        <v>188.8</v>
      </c>
      <c r="BU136" s="215">
        <f t="shared" si="123"/>
        <v>0</v>
      </c>
      <c r="BV136" s="214">
        <f t="shared" si="124"/>
        <v>0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25"/>
        <v/>
      </c>
      <c r="D137" s="15" t="str">
        <f t="shared" si="125"/>
        <v/>
      </c>
      <c r="E137" s="353"/>
      <c r="F137" s="15" t="str">
        <f t="shared" si="104"/>
        <v/>
      </c>
      <c r="G137" s="353"/>
      <c r="H137" s="15" t="str">
        <f t="shared" si="105"/>
        <v/>
      </c>
      <c r="I137" s="353"/>
      <c r="J137" s="15" t="str">
        <f t="shared" si="106"/>
        <v/>
      </c>
      <c r="K137" s="353"/>
      <c r="L137" s="15" t="str">
        <f t="shared" si="107"/>
        <v/>
      </c>
      <c r="M137" s="353"/>
      <c r="N137" s="15" t="str">
        <f t="shared" si="108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09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0"/>
        <v>0</v>
      </c>
      <c r="BE137" s="213">
        <f t="shared" si="111"/>
        <v>0</v>
      </c>
      <c r="BF137" s="215">
        <f t="shared" si="112"/>
        <v>0</v>
      </c>
      <c r="BG137" s="215">
        <f t="shared" si="113"/>
        <v>0</v>
      </c>
      <c r="BH137" s="215" t="str">
        <f t="shared" si="114"/>
        <v/>
      </c>
      <c r="BI137" s="215" t="str">
        <f t="shared" si="115"/>
        <v/>
      </c>
      <c r="BJ137" s="215" t="str">
        <f t="shared" si="116"/>
        <v/>
      </c>
      <c r="BK137" s="215" t="str">
        <f t="shared" si="117"/>
        <v/>
      </c>
      <c r="BL137" s="215" t="str">
        <f t="shared" si="118"/>
        <v/>
      </c>
      <c r="BM137" s="216"/>
      <c r="BN137" s="214"/>
      <c r="BO137" s="215">
        <f t="shared" si="119"/>
        <v>0</v>
      </c>
      <c r="BP137" s="215">
        <f t="shared" si="120"/>
        <v>0</v>
      </c>
      <c r="BQ137" s="215" t="str">
        <f t="shared" si="126"/>
        <v>Castra Regina Regensburg 2</v>
      </c>
      <c r="BR137" s="214">
        <f t="shared" si="121"/>
        <v>2</v>
      </c>
      <c r="BS137" s="215">
        <f t="shared" si="122"/>
        <v>0</v>
      </c>
      <c r="BT137" s="215">
        <f>IF(COUNTIF(BH137:BL137,"&gt;0")&lt;Spielorte!$A$23,0,BE137/Spielorte!$A$23)</f>
        <v>0</v>
      </c>
      <c r="BU137" s="215">
        <f t="shared" si="123"/>
        <v>0</v>
      </c>
      <c r="BV137" s="214">
        <f t="shared" si="124"/>
        <v>0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25"/>
        <v/>
      </c>
      <c r="D138" s="9" t="str">
        <f t="shared" si="125"/>
        <v/>
      </c>
      <c r="E138" s="354"/>
      <c r="F138" s="9" t="str">
        <f t="shared" si="104"/>
        <v/>
      </c>
      <c r="G138" s="354"/>
      <c r="H138" s="9" t="str">
        <f t="shared" si="105"/>
        <v/>
      </c>
      <c r="I138" s="354"/>
      <c r="J138" s="9" t="str">
        <f t="shared" si="106"/>
        <v/>
      </c>
      <c r="K138" s="354"/>
      <c r="L138" s="9" t="str">
        <f t="shared" si="107"/>
        <v/>
      </c>
      <c r="M138" s="354"/>
      <c r="N138" s="9" t="str">
        <f t="shared" si="108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09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0"/>
        <v>0</v>
      </c>
      <c r="BE138" s="213">
        <f t="shared" si="111"/>
        <v>0</v>
      </c>
      <c r="BF138" s="215">
        <f t="shared" si="112"/>
        <v>0</v>
      </c>
      <c r="BG138" s="215">
        <f t="shared" si="113"/>
        <v>0</v>
      </c>
      <c r="BH138" s="215" t="str">
        <f t="shared" si="114"/>
        <v/>
      </c>
      <c r="BI138" s="215" t="str">
        <f t="shared" si="115"/>
        <v/>
      </c>
      <c r="BJ138" s="215" t="str">
        <f t="shared" si="116"/>
        <v/>
      </c>
      <c r="BK138" s="215" t="str">
        <f t="shared" si="117"/>
        <v/>
      </c>
      <c r="BL138" s="215" t="str">
        <f t="shared" si="118"/>
        <v/>
      </c>
      <c r="BM138" s="216"/>
      <c r="BN138" s="214"/>
      <c r="BO138" s="215">
        <f t="shared" si="119"/>
        <v>0</v>
      </c>
      <c r="BP138" s="215">
        <f t="shared" si="120"/>
        <v>0</v>
      </c>
      <c r="BQ138" s="215" t="str">
        <f t="shared" si="126"/>
        <v>Castra Regina Regensburg 2</v>
      </c>
      <c r="BR138" s="214">
        <f t="shared" si="121"/>
        <v>2</v>
      </c>
      <c r="BS138" s="215">
        <f t="shared" si="122"/>
        <v>0</v>
      </c>
      <c r="BT138" s="215">
        <f>IF(COUNTIF(BH138:BL138,"&gt;0")&lt;Spielorte!$A$23,0,BE138/Spielorte!$A$23)</f>
        <v>0</v>
      </c>
      <c r="BU138" s="215">
        <f t="shared" si="123"/>
        <v>0</v>
      </c>
      <c r="BV138" s="214">
        <f t="shared" si="124"/>
        <v>0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25"/>
        <v/>
      </c>
      <c r="D139" s="16">
        <f t="shared" si="125"/>
        <v>696</v>
      </c>
      <c r="E139" s="12">
        <f>IF(V139="","",V139)</f>
        <v>2</v>
      </c>
      <c r="F139" s="16">
        <f t="shared" si="104"/>
        <v>647</v>
      </c>
      <c r="G139" s="12">
        <f>IF(X139="","",X139)</f>
        <v>0</v>
      </c>
      <c r="H139" s="16">
        <f t="shared" si="105"/>
        <v>723</v>
      </c>
      <c r="I139" s="12">
        <f>IF(Z139="","",Z139)</f>
        <v>2</v>
      </c>
      <c r="J139" s="16">
        <f t="shared" si="106"/>
        <v>663</v>
      </c>
      <c r="K139" s="12">
        <f>IF(AB139="","",AB139)</f>
        <v>0</v>
      </c>
      <c r="L139" s="16">
        <f t="shared" si="107"/>
        <v>723</v>
      </c>
      <c r="M139" s="12">
        <f>IF(AD139="","",AD139)</f>
        <v>2</v>
      </c>
      <c r="N139" s="16">
        <f t="shared" si="108"/>
        <v>3452</v>
      </c>
      <c r="O139" s="12">
        <f>IF(AF139="","",AF139)</f>
        <v>6</v>
      </c>
      <c r="S139" s="11" t="s">
        <v>1791</v>
      </c>
      <c r="T139" s="71"/>
      <c r="U139" s="188">
        <f>ABS(SUM(U127:U129))+ABS(SUM(U130:U132))+ABS(SUM(U133:U135))+ABS(SUM(U136:U138))</f>
        <v>696</v>
      </c>
      <c r="V139" s="98">
        <f>IF(U139+U149=0,0,IF(U139=U149,1,IF(U139&gt;U149,2,0)))</f>
        <v>2</v>
      </c>
      <c r="W139" s="188">
        <f>ABS(SUM(W127:W129))+ABS(SUM(W130:W132))+ABS(SUM(W133:W135))+ABS(SUM(W136:W138))</f>
        <v>647</v>
      </c>
      <c r="X139" s="98">
        <f>IF(W139+W149=0,0,IF(W139=W149,1,IF(W139&gt;W149,2,0)))</f>
        <v>0</v>
      </c>
      <c r="Y139" s="188">
        <f>ABS(SUM(Y127:Y129))+ABS(SUM(Y130:Y132))+ABS(SUM(Y133:Y135))+ABS(SUM(Y136:Y138))</f>
        <v>723</v>
      </c>
      <c r="Z139" s="98">
        <f>IF(Y139+Y149=0,0,IF(Y139=Y149,1,IF(Y139&gt;Y149,2,0)))</f>
        <v>2</v>
      </c>
      <c r="AA139" s="188">
        <f>ABS(SUM(AA127:AA129))+ABS(SUM(AA130:AA132))+ABS(SUM(AA133:AA135))+ABS(SUM(AA136:AA138))</f>
        <v>663</v>
      </c>
      <c r="AB139" s="98">
        <f>IF(AA139+AA149=0,0,IF(AA139=AA149,1,IF(AA139&gt;AA149,2,0)))</f>
        <v>0</v>
      </c>
      <c r="AC139" s="188">
        <f>ABS(SUM(AC127:AC129))+ABS(SUM(AC130:AC132))+ABS(SUM(AC133:AC135))+ABS(SUM(AC136:AC138))</f>
        <v>723</v>
      </c>
      <c r="AD139" s="98">
        <f>IF(AC139+AC149=0,0,IF(AC139=AC149,1,IF(AC139&gt;AC149,2,0)))</f>
        <v>2</v>
      </c>
      <c r="AE139" s="198">
        <f>SUM(U139+W139+Y139+AA139+AC139)</f>
        <v>3452</v>
      </c>
      <c r="AF139" s="12">
        <f>SUM(V139+X139+Z139+AB139+AD139)</f>
        <v>6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25"/>
        <v/>
      </c>
      <c r="D140" s="1" t="str">
        <f t="shared" si="125"/>
        <v/>
      </c>
      <c r="E140" s="23">
        <f>IF(V140="","",V140)</f>
        <v>5</v>
      </c>
      <c r="F140" s="1" t="str">
        <f t="shared" si="104"/>
        <v/>
      </c>
      <c r="G140" s="23">
        <f>IF(X140="","",X140)</f>
        <v>1</v>
      </c>
      <c r="H140" s="1" t="str">
        <f t="shared" si="105"/>
        <v/>
      </c>
      <c r="I140" s="23">
        <f>IF(Z140="","",Z140)</f>
        <v>5</v>
      </c>
      <c r="J140" s="1" t="str">
        <f t="shared" si="106"/>
        <v/>
      </c>
      <c r="K140" s="23">
        <f>IF(AB140="","",AB140)</f>
        <v>1</v>
      </c>
      <c r="L140" s="1" t="str">
        <f t="shared" si="107"/>
        <v/>
      </c>
      <c r="M140" s="23">
        <f>IF(AD140="","",AD140)</f>
        <v>3</v>
      </c>
      <c r="N140" s="1" t="str">
        <f t="shared" si="108"/>
        <v/>
      </c>
      <c r="O140" s="23">
        <f>IF(AF140="","",AF140)</f>
        <v>15</v>
      </c>
      <c r="S140" s="8" t="s">
        <v>1802</v>
      </c>
      <c r="T140" s="1"/>
      <c r="U140" s="1"/>
      <c r="V140" s="72">
        <f>SUM(V127:V139)</f>
        <v>5</v>
      </c>
      <c r="W140" s="1"/>
      <c r="X140" s="72">
        <f>SUM(X127:X139)</f>
        <v>1</v>
      </c>
      <c r="Y140" s="1"/>
      <c r="Z140" s="72">
        <f>SUM(Z127:Z139)</f>
        <v>5</v>
      </c>
      <c r="AA140" s="1"/>
      <c r="AB140" s="72">
        <f>SUM(AB127:AB139)</f>
        <v>1</v>
      </c>
      <c r="AC140" s="1"/>
      <c r="AD140" s="72">
        <f>SUM(AD127:AD139)</f>
        <v>3</v>
      </c>
      <c r="AE140" s="1"/>
      <c r="AF140" s="72">
        <f>SUM(AF127:AF139)</f>
        <v>15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15</v>
      </c>
      <c r="BB140" s="213">
        <f>AE139</f>
        <v>3452</v>
      </c>
      <c r="BC140" s="214">
        <f>+S122</f>
        <v>5</v>
      </c>
      <c r="BF140" s="215">
        <f>SUM(BF121:BF139)</f>
        <v>20</v>
      </c>
      <c r="BM140" s="212">
        <f>+BB140/1000000+BA140</f>
        <v>15.003451999999999</v>
      </c>
      <c r="BN140" s="214">
        <f>RANK(BM140,BM:BM)</f>
        <v>3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K144" si="127">IF(S142=0,"",S142)</f>
        <v>Gegner-Nr.:</v>
      </c>
      <c r="C142" s="5" t="str">
        <f t="shared" si="127"/>
        <v>&gt;&gt;&gt;&gt;</v>
      </c>
      <c r="D142" s="350">
        <f t="shared" si="127"/>
        <v>3</v>
      </c>
      <c r="E142" s="350" t="str">
        <f t="shared" si="127"/>
        <v/>
      </c>
      <c r="F142" s="350">
        <f t="shared" si="127"/>
        <v>4</v>
      </c>
      <c r="G142" s="350" t="str">
        <f t="shared" si="127"/>
        <v/>
      </c>
      <c r="H142" s="350">
        <f t="shared" si="127"/>
        <v>6</v>
      </c>
      <c r="I142" s="350" t="str">
        <f t="shared" si="127"/>
        <v/>
      </c>
      <c r="J142" s="350">
        <f t="shared" si="127"/>
        <v>1</v>
      </c>
      <c r="K142" s="350" t="str">
        <f t="shared" si="127"/>
        <v/>
      </c>
      <c r="L142" s="350">
        <f t="shared" ref="L142:M144" si="128">IF(AC142=0,"",AC142)</f>
        <v>2</v>
      </c>
      <c r="M142" s="350" t="str">
        <f t="shared" si="128"/>
        <v/>
      </c>
      <c r="N142" s="351"/>
      <c r="O142" s="351"/>
      <c r="S142" s="13" t="s">
        <v>1789</v>
      </c>
      <c r="T142" s="5" t="s">
        <v>1790</v>
      </c>
      <c r="U142" s="369">
        <f>VLOOKUP($S122,Schlüssel!$A$5:$DG$10,43)</f>
        <v>3</v>
      </c>
      <c r="V142" s="370"/>
      <c r="W142" s="369">
        <f>VLOOKUP($S122,Schlüssel!$A$5:$EK$10,44)</f>
        <v>4</v>
      </c>
      <c r="X142" s="370"/>
      <c r="Y142" s="369">
        <f>VLOOKUP($S122,Schlüssel!$A$5:$EK$10,45)</f>
        <v>6</v>
      </c>
      <c r="Z142" s="370"/>
      <c r="AA142" s="369">
        <f>VLOOKUP($S122,Schlüssel!$A$5:$EK$10,46)</f>
        <v>1</v>
      </c>
      <c r="AB142" s="370"/>
      <c r="AC142" s="369">
        <f>VLOOKUP($S122,Schlüssel!$A$5:$EK$10,47)</f>
        <v>2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si="127"/>
        <v/>
      </c>
      <c r="C143" s="1" t="str">
        <f t="shared" si="127"/>
        <v/>
      </c>
      <c r="D143" s="347" t="str">
        <f t="shared" si="127"/>
        <v>Kings Club Bayreuth Land 2</v>
      </c>
      <c r="E143" s="348" t="str">
        <f t="shared" si="127"/>
        <v/>
      </c>
      <c r="F143" s="347" t="str">
        <f t="shared" si="127"/>
        <v>Kings Club Bayreuth Land 3</v>
      </c>
      <c r="G143" s="348" t="str">
        <f t="shared" si="127"/>
        <v/>
      </c>
      <c r="H143" s="347" t="str">
        <f t="shared" si="127"/>
        <v>Adler Nürnberg 1</v>
      </c>
      <c r="I143" s="348" t="str">
        <f t="shared" si="127"/>
        <v/>
      </c>
      <c r="J143" s="347" t="str">
        <f t="shared" si="127"/>
        <v>Castra Regina Regensburg 3</v>
      </c>
      <c r="K143" s="348" t="str">
        <f t="shared" si="127"/>
        <v/>
      </c>
      <c r="L143" s="347" t="str">
        <f t="shared" si="128"/>
        <v>Herzogenaurach 1</v>
      </c>
      <c r="M143" s="348" t="str">
        <f t="shared" si="128"/>
        <v/>
      </c>
      <c r="N143" s="349"/>
      <c r="O143" s="349"/>
      <c r="S143" s="4"/>
      <c r="T143" s="1"/>
      <c r="U143" s="347" t="str">
        <f>VLOOKUP(U142,Schlüssel!$A$5:$K$10,2)</f>
        <v>Kings Club Bayreuth Land 2</v>
      </c>
      <c r="V143" s="348"/>
      <c r="W143" s="347" t="str">
        <f>VLOOKUP(W142,Schlüssel!$A$5:$K$10,2)</f>
        <v>Kings Club Bayreuth Land 3</v>
      </c>
      <c r="X143" s="348"/>
      <c r="Y143" s="347" t="str">
        <f>VLOOKUP(Y142,Schlüssel!$A$5:$K$10,2)</f>
        <v>Adler Nürnberg 1</v>
      </c>
      <c r="Z143" s="348"/>
      <c r="AA143" s="347" t="str">
        <f>VLOOKUP(AA142,Schlüssel!$A$5:$K$10,2)</f>
        <v>Castra Regina Regensburg 3</v>
      </c>
      <c r="AB143" s="348"/>
      <c r="AC143" s="347" t="str">
        <f>VLOOKUP(AC142,Schlüssel!$A$5:$K$10,2)</f>
        <v>Herzogenaurach 1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27"/>
        <v/>
      </c>
      <c r="C144" s="1" t="str">
        <f t="shared" si="127"/>
        <v/>
      </c>
      <c r="D144" s="346" t="str">
        <f t="shared" si="127"/>
        <v/>
      </c>
      <c r="E144" s="346" t="str">
        <f t="shared" si="127"/>
        <v/>
      </c>
      <c r="F144" s="346" t="str">
        <f t="shared" si="127"/>
        <v/>
      </c>
      <c r="G144" s="346" t="str">
        <f t="shared" si="127"/>
        <v/>
      </c>
      <c r="H144" s="346" t="str">
        <f t="shared" si="127"/>
        <v/>
      </c>
      <c r="I144" s="346" t="str">
        <f t="shared" si="127"/>
        <v/>
      </c>
      <c r="J144" s="346" t="str">
        <f t="shared" si="127"/>
        <v/>
      </c>
      <c r="K144" s="346" t="str">
        <f t="shared" si="127"/>
        <v/>
      </c>
      <c r="L144" s="346" t="str">
        <f t="shared" si="128"/>
        <v/>
      </c>
      <c r="M144" s="346" t="str">
        <f t="shared" si="128"/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ref="B145:C149" si="129">IF(S145=0,"",S145)</f>
        <v>Spieler 1</v>
      </c>
      <c r="C145" s="372" t="str">
        <f t="shared" si="129"/>
        <v/>
      </c>
      <c r="D145" s="344">
        <f>IF(U145=301,"",U145)</f>
        <v>135</v>
      </c>
      <c r="E145" s="344" t="str">
        <f>IF(V145=0,"",V145)</f>
        <v/>
      </c>
      <c r="F145" s="344">
        <f>IF(W145=301,"",W145)</f>
        <v>138</v>
      </c>
      <c r="G145" s="344" t="str">
        <f>IF(X145=0,"",X145)</f>
        <v/>
      </c>
      <c r="H145" s="344">
        <f>IF(Y145=301,"",Y145)</f>
        <v>161</v>
      </c>
      <c r="I145" s="344" t="str">
        <f>IF(Z145=0,"",Z145)</f>
        <v/>
      </c>
      <c r="J145" s="344">
        <f>IF(AA145=301,"",AA145)</f>
        <v>146</v>
      </c>
      <c r="K145" s="344" t="str">
        <f>IF(AB145=0,"",AB145)</f>
        <v/>
      </c>
      <c r="L145" s="344">
        <f>IF(AC145=301,"",AC145)</f>
        <v>170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135</v>
      </c>
      <c r="V145" s="368"/>
      <c r="W145" s="367">
        <f>ABS(INDEX(W:W,MATCH(W142,$S:$S,0)+5)+INDEX(W:W,MATCH(W142,$S:$S,0)+6)+INDEX(W:W,MATCH(W142,$S:$S,0)+7))</f>
        <v>138</v>
      </c>
      <c r="X145" s="368"/>
      <c r="Y145" s="367">
        <f>ABS(INDEX(Y:Y,MATCH(Y142,$S:$S,0)+5)+INDEX(Y:Y,MATCH(Y142,$S:$S,0)+6)+INDEX(Y:Y,MATCH(Y142,$S:$S,0)+7))</f>
        <v>161</v>
      </c>
      <c r="Z145" s="368"/>
      <c r="AA145" s="367">
        <f>ABS(INDEX(AA:AA,MATCH(AA142,$S:$S,0)+5)+INDEX(AA:AA,MATCH(AA142,$S:$S,0)+6)+INDEX(AA:AA,MATCH(AA142,$S:$S,0)+7))</f>
        <v>146</v>
      </c>
      <c r="AB145" s="368"/>
      <c r="AC145" s="367">
        <f>ABS(INDEX(AC:AC,MATCH(AC142,$S:$S,0)+5)+INDEX(AC:AC,MATCH(AC142,$S:$S,0)+6)+INDEX(AC:AC,MATCH(AC142,$S:$S,0)+7))</f>
        <v>170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29"/>
        <v>Spieler 2</v>
      </c>
      <c r="C146" s="372" t="str">
        <f t="shared" si="129"/>
        <v/>
      </c>
      <c r="D146" s="344">
        <f>IF(U146=301,"",U146)</f>
        <v>150</v>
      </c>
      <c r="E146" s="344" t="str">
        <f>IF(V146=0,"",V146)</f>
        <v/>
      </c>
      <c r="F146" s="344">
        <f>IF(W146=301,"",W146)</f>
        <v>144</v>
      </c>
      <c r="G146" s="344" t="str">
        <f>IF(X146=0,"",X146)</f>
        <v/>
      </c>
      <c r="H146" s="344">
        <f>IF(Y146=301,"",Y146)</f>
        <v>151</v>
      </c>
      <c r="I146" s="344" t="str">
        <f>IF(Z146=0,"",Z146)</f>
        <v/>
      </c>
      <c r="J146" s="344">
        <f>IF(AA146=301,"",AA146)</f>
        <v>174</v>
      </c>
      <c r="K146" s="344" t="str">
        <f>IF(AB146=0,"",AB146)</f>
        <v/>
      </c>
      <c r="L146" s="344">
        <f>IF(AC146=301,"",AC146)</f>
        <v>161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150</v>
      </c>
      <c r="V146" s="366"/>
      <c r="W146" s="365">
        <f>ABS(INDEX(W:W,MATCH(W142,$S:$S,0)+8)+INDEX(W:W,MATCH(W142,$S:$S,0)+9)+INDEX(W:W,MATCH(W142,$S:$S,0)+10))</f>
        <v>144</v>
      </c>
      <c r="X146" s="366"/>
      <c r="Y146" s="365">
        <f>ABS(INDEX(Y:Y,MATCH(Y142,$S:$S,0)+8)+INDEX(Y:Y,MATCH(Y142,$S:$S,0)+9)+INDEX(Y:Y,MATCH(Y142,$S:$S,0)+10))</f>
        <v>151</v>
      </c>
      <c r="Z146" s="366"/>
      <c r="AA146" s="365">
        <f>ABS(INDEX(AA:AA,MATCH(AA142,$S:$S,0)+8)+INDEX(AA:AA,MATCH(AA142,$S:$S,0)+9)+INDEX(AA:AA,MATCH(AA142,$S:$S,0)+10))</f>
        <v>174</v>
      </c>
      <c r="AB146" s="366"/>
      <c r="AC146" s="365">
        <f>ABS(INDEX(AC:AC,MATCH(AC142,$S:$S,0)+8)+INDEX(AC:AC,MATCH(AC142,$S:$S,0)+9)+INDEX(AC:AC,MATCH(AC142,$S:$S,0)+10))</f>
        <v>161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29"/>
        <v>Spieler 3</v>
      </c>
      <c r="C147" s="372" t="str">
        <f t="shared" si="129"/>
        <v/>
      </c>
      <c r="D147" s="344">
        <f>IF(U147=301,"",U147)</f>
        <v>150</v>
      </c>
      <c r="E147" s="344" t="str">
        <f>IF(V147=0,"",V147)</f>
        <v/>
      </c>
      <c r="F147" s="344">
        <f>IF(W147=301,"",W147)</f>
        <v>190</v>
      </c>
      <c r="G147" s="344" t="str">
        <f>IF(X147=0,"",X147)</f>
        <v/>
      </c>
      <c r="H147" s="344">
        <f>IF(Y147=301,"",Y147)</f>
        <v>181</v>
      </c>
      <c r="I147" s="344" t="str">
        <f>IF(Z147=0,"",Z147)</f>
        <v/>
      </c>
      <c r="J147" s="344">
        <f>IF(AA147=301,"",AA147)</f>
        <v>162</v>
      </c>
      <c r="K147" s="344" t="str">
        <f>IF(AB147=0,"",AB147)</f>
        <v/>
      </c>
      <c r="L147" s="344">
        <f>IF(AC147=301,"",AC147)</f>
        <v>193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150</v>
      </c>
      <c r="V147" s="366"/>
      <c r="W147" s="365">
        <f>ABS(INDEX(W:W,MATCH(W142,$S:$S,0)+11)+INDEX(W:W,MATCH(W142,$S:$S,0)+12)+INDEX(W:W,MATCH(W142,$S:$S,0)+13))</f>
        <v>190</v>
      </c>
      <c r="X147" s="366"/>
      <c r="Y147" s="365">
        <f>ABS(INDEX(Y:Y,MATCH(Y142,$S:$S,0)+11)+INDEX(Y:Y,MATCH(Y142,$S:$S,0)+12)+INDEX(Y:Y,MATCH(Y142,$S:$S,0)+13))</f>
        <v>181</v>
      </c>
      <c r="Z147" s="366"/>
      <c r="AA147" s="365">
        <f>ABS(INDEX(AA:AA,MATCH(AA142,$S:$S,0)+11)+INDEX(AA:AA,MATCH(AA142,$S:$S,0)+12)+INDEX(AA:AA,MATCH(AA142,$S:$S,0)+13))</f>
        <v>162</v>
      </c>
      <c r="AB147" s="366"/>
      <c r="AC147" s="365">
        <f>ABS(INDEX(AC:AC,MATCH(AC142,$S:$S,0)+11)+INDEX(AC:AC,MATCH(AC142,$S:$S,0)+12)+INDEX(AC:AC,MATCH(AC142,$S:$S,0)+13))</f>
        <v>193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29"/>
        <v>Spieler 4</v>
      </c>
      <c r="C148" s="372" t="str">
        <f t="shared" si="129"/>
        <v/>
      </c>
      <c r="D148" s="344">
        <f>IF(U148=301,"",U148)</f>
        <v>169</v>
      </c>
      <c r="E148" s="344" t="str">
        <f>IF(V148=0,"",V148)</f>
        <v/>
      </c>
      <c r="F148" s="344">
        <f>IF(W148=301,"",W148)</f>
        <v>190</v>
      </c>
      <c r="G148" s="344" t="str">
        <f>IF(X148=0,"",X148)</f>
        <v/>
      </c>
      <c r="H148" s="344">
        <f>IF(Y148=301,"",Y148)</f>
        <v>202</v>
      </c>
      <c r="I148" s="344" t="str">
        <f>IF(Z148=0,"",Z148)</f>
        <v/>
      </c>
      <c r="J148" s="344">
        <f>IF(AA148=301,"",AA148)</f>
        <v>192</v>
      </c>
      <c r="K148" s="344" t="str">
        <f>IF(AB148=0,"",AB148)</f>
        <v/>
      </c>
      <c r="L148" s="344">
        <f>IF(AC148=301,"",AC148)</f>
        <v>179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169</v>
      </c>
      <c r="V148" s="366"/>
      <c r="W148" s="365">
        <f>ABS(INDEX(W:W,MATCH(W142,$S:$S,0)+14)+INDEX(W:W,MATCH(W142,$S:$S,0)+15)+INDEX(W:W,MATCH(W142,$S:$S,0)+16))</f>
        <v>190</v>
      </c>
      <c r="X148" s="366"/>
      <c r="Y148" s="365">
        <f>ABS(INDEX(Y:Y,MATCH(Y142,$S:$S,0)+14)+INDEX(Y:Y,MATCH(Y142,$S:$S,0)+15)+INDEX(Y:Y,MATCH(Y142,$S:$S,0)+16))</f>
        <v>202</v>
      </c>
      <c r="Z148" s="366"/>
      <c r="AA148" s="365">
        <f>ABS(INDEX(AA:AA,MATCH(AA142,$S:$S,0)+14)+INDEX(AA:AA,MATCH(AA142,$S:$S,0)+15)+INDEX(AA:AA,MATCH(AA142,$S:$S,0)+16))</f>
        <v>192</v>
      </c>
      <c r="AB148" s="366"/>
      <c r="AC148" s="365">
        <f>ABS(INDEX(AC:AC,MATCH(AC142,$S:$S,0)+14)+INDEX(AC:AC,MATCH(AC142,$S:$S,0)+15)+INDEX(AC:AC,MATCH(AC142,$S:$S,0)+16))</f>
        <v>179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29"/>
        <v>Gesamt</v>
      </c>
      <c r="C149" s="360" t="str">
        <f t="shared" si="129"/>
        <v/>
      </c>
      <c r="D149" s="343">
        <f>IF(U149=1505,"",U149)</f>
        <v>604</v>
      </c>
      <c r="E149" s="343" t="str">
        <f>IF(V149=0,"",V149)</f>
        <v/>
      </c>
      <c r="F149" s="343">
        <f>IF(W149=1505,"",W149)</f>
        <v>662</v>
      </c>
      <c r="G149" s="343" t="str">
        <f>IF(X149=0,"",X149)</f>
        <v/>
      </c>
      <c r="H149" s="343">
        <f>IF(Y149=1505,"",Y149)</f>
        <v>695</v>
      </c>
      <c r="I149" s="343" t="str">
        <f>IF(Z149=0,"",Z149)</f>
        <v/>
      </c>
      <c r="J149" s="343">
        <f>IF(AA149=1505,"",AA149)</f>
        <v>674</v>
      </c>
      <c r="K149" s="343" t="str">
        <f>IF(AB149=0,"",AB149)</f>
        <v/>
      </c>
      <c r="L149" s="343">
        <f>IF(AC149=1505,"",AC149)</f>
        <v>703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604</v>
      </c>
      <c r="V149" s="360"/>
      <c r="W149" s="359">
        <f>SUM(W145:W148)</f>
        <v>662</v>
      </c>
      <c r="X149" s="360"/>
      <c r="Y149" s="359">
        <f>SUM(Y145:Y148)</f>
        <v>695</v>
      </c>
      <c r="Z149" s="360"/>
      <c r="AA149" s="359">
        <f>SUM(AA145:AA148)</f>
        <v>674</v>
      </c>
      <c r="AB149" s="360"/>
      <c r="AC149" s="359">
        <f>SUM(AC145:AC148)</f>
        <v>703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 t="str">
        <f>AD151</f>
        <v>16.02.</v>
      </c>
      <c r="N151" s="376"/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Schlüssel!$BA$1</f>
        <v>16.02.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">
        <v>1786</v>
      </c>
      <c r="E152" s="84" t="str">
        <f>V152</f>
        <v>Nürnberg West Bowling</v>
      </c>
      <c r="F152" s="77"/>
      <c r="G152" s="77"/>
      <c r="H152" s="77"/>
      <c r="I152" s="77"/>
      <c r="J152" s="77"/>
      <c r="K152" s="77" t="str">
        <f>AC152</f>
        <v>Spieltag:</v>
      </c>
      <c r="L152" s="29"/>
      <c r="M152" s="86">
        <f>AD152</f>
        <v>3</v>
      </c>
      <c r="N152" s="28"/>
      <c r="R152" s="49"/>
      <c r="S152" s="50">
        <v>6</v>
      </c>
      <c r="U152" s="30" t="s">
        <v>1786</v>
      </c>
      <c r="V152" s="84" t="str">
        <f>Schlüssel!$AQ$2</f>
        <v>Nürnberg West Bowling</v>
      </c>
      <c r="X152" s="77"/>
      <c r="Y152" s="77"/>
      <c r="Z152" s="77"/>
      <c r="AA152" s="77"/>
      <c r="AB152" s="77"/>
      <c r="AC152" s="29" t="s">
        <v>1784</v>
      </c>
      <c r="AD152" s="34">
        <v>3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VLOOKUP(S152,Schlüssel!$A$5:$DZ$10,53)</f>
        <v>16</v>
      </c>
      <c r="W154" s="193" t="s">
        <v>10</v>
      </c>
      <c r="X154" s="191">
        <f>VLOOKUP(S152,Schlüssel!$A$5:$DZ$10,54)</f>
        <v>14</v>
      </c>
      <c r="Y154" s="193" t="s">
        <v>10</v>
      </c>
      <c r="Z154" s="191">
        <f>VLOOKUP(S152,Schlüssel!$A$5:$DZ$10,55)</f>
        <v>12</v>
      </c>
      <c r="AA154" s="193" t="s">
        <v>10</v>
      </c>
      <c r="AB154" s="191">
        <f>VLOOKUP(S152,Schlüssel!$A$5:$DZ$10,56)</f>
        <v>15</v>
      </c>
      <c r="AC154" s="193" t="s">
        <v>10</v>
      </c>
      <c r="AD154" s="192">
        <f>VLOOKUP(S152,Schlüssel!$A$5:$DZ$10,57)</f>
        <v>14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>Doßler, Thomas</v>
      </c>
      <c r="C157" s="18">
        <f>IF(T157=0,"",T157)</f>
        <v>7714</v>
      </c>
      <c r="D157" s="14">
        <f>IF(U157=0,"",U157)</f>
        <v>233</v>
      </c>
      <c r="E157" s="352">
        <f>IF(V157="","",V157)</f>
        <v>1</v>
      </c>
      <c r="F157" s="14">
        <f t="shared" ref="F157:F170" si="130">IF(W157=0,"",W157)</f>
        <v>169</v>
      </c>
      <c r="G157" s="352">
        <f>IF(X157="","",X157)</f>
        <v>1</v>
      </c>
      <c r="H157" s="14">
        <f t="shared" ref="H157:H170" si="131">IF(Y157=0,"",Y157)</f>
        <v>161</v>
      </c>
      <c r="I157" s="352">
        <f>IF(Z157="","",Z157)</f>
        <v>0</v>
      </c>
      <c r="J157" s="14">
        <f t="shared" ref="J157:J170" si="132">IF(AA157=0,"",AA157)</f>
        <v>128</v>
      </c>
      <c r="K157" s="352">
        <f>IF(AB157="","",AB157)</f>
        <v>0</v>
      </c>
      <c r="L157" s="14">
        <f t="shared" ref="L157:L170" si="133">IF(AC157=0,"",AC157)</f>
        <v>147</v>
      </c>
      <c r="M157" s="352">
        <f>IF(AD157="","",AD157)</f>
        <v>1</v>
      </c>
      <c r="N157" s="14">
        <f t="shared" ref="N157:N170" si="134">IF(AE157=0,"",AE157)</f>
        <v>838</v>
      </c>
      <c r="O157" s="352">
        <f>IF(AF157="","",AF157)</f>
        <v>3</v>
      </c>
      <c r="R157" s="355" t="s">
        <v>0</v>
      </c>
      <c r="S157" s="68" t="str">
        <f>IF(T157=0,"",VLOOKUP(T157,Starter!$A$1:$D$196,2,FALSE))</f>
        <v>Doßler, Thomas</v>
      </c>
      <c r="T157" s="175">
        <v>7714</v>
      </c>
      <c r="U157" s="183">
        <v>233</v>
      </c>
      <c r="V157" s="95">
        <f>IF(SUM(U157:U159)+U175=0,0,IF(ABS(SUM(U157:U159))=U175,0.5,IF(ABS(SUM(U157:U159))&gt;U175,1,0)))</f>
        <v>1</v>
      </c>
      <c r="W157" s="183">
        <v>169</v>
      </c>
      <c r="X157" s="95">
        <f>IF(SUM(W157:W159)+W175=0,0,IF(ABS(SUM(W157:W159))=W175,0.5,IF(ABS(SUM(W157:W159))&gt;W175,1,0)))</f>
        <v>1</v>
      </c>
      <c r="Y157" s="183">
        <v>161</v>
      </c>
      <c r="Z157" s="95">
        <f>IF(SUM(Y157:Y159)+Y175=0,0,IF(ABS(SUM(Y157:Y159))=Y175,0.5,IF(ABS(SUM(Y157:Y159))&gt;Y175,1,0)))</f>
        <v>0</v>
      </c>
      <c r="AA157" s="189">
        <v>128</v>
      </c>
      <c r="AB157" s="95">
        <f>IF(SUM(AA157:AA159)+AA175=0,0,IF(ABS(SUM(AA157:AA159))=AA175,0.5,IF(ABS(SUM(AA157:AA159))&gt;AA175,1,0)))</f>
        <v>0</v>
      </c>
      <c r="AC157" s="183">
        <v>147</v>
      </c>
      <c r="AD157" s="95">
        <f>IF(SUM(AC157:AC159)+AC175=0,0,IF(ABS(SUM(AC157:AC159))=AC175,0.5,IF(ABS(SUM(AC157:AC159))&gt;AC175,1,0)))</f>
        <v>1</v>
      </c>
      <c r="AE157" s="195">
        <f t="shared" ref="AE157:AE168" si="135">ABS(SUM(U157:U157))+ABS(SUM(W157:W157))+ABS(SUM(Y157:Y157))+ABS(SUM(AA157:AA157))+ABS(SUM(AC157:AC157))</f>
        <v>838</v>
      </c>
      <c r="AF157" s="180">
        <f>SUM(V157+X157+Z157+AB157+AD157)</f>
        <v>3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36">T157</f>
        <v>7714</v>
      </c>
      <c r="BE157" s="213">
        <f t="shared" ref="BE157:BE168" si="137">AE157</f>
        <v>838</v>
      </c>
      <c r="BF157" s="215">
        <f t="shared" ref="BF157:BF168" si="138">COUNT(BH157:BL157)</f>
        <v>5</v>
      </c>
      <c r="BG157" s="215">
        <f t="shared" ref="BG157:BG168" si="139">COUNTIF(BH157:BL157,"&gt;0")</f>
        <v>5</v>
      </c>
      <c r="BH157" s="215">
        <f t="shared" ref="BH157:BH168" si="140">IF(U157=0,"",U157)</f>
        <v>233</v>
      </c>
      <c r="BI157" s="215">
        <f t="shared" ref="BI157:BI168" si="141">IF(W157=0,"",W157)</f>
        <v>169</v>
      </c>
      <c r="BJ157" s="215">
        <f t="shared" ref="BJ157:BJ168" si="142">IF(Y157=0,"",Y157)</f>
        <v>161</v>
      </c>
      <c r="BK157" s="215">
        <f t="shared" ref="BK157:BK168" si="143">IF(AA157=0,"",AA157)</f>
        <v>128</v>
      </c>
      <c r="BL157" s="215">
        <f t="shared" ref="BL157:BL168" si="144">IF(AC157=0,"",AC157)</f>
        <v>147</v>
      </c>
      <c r="BM157" s="216"/>
      <c r="BN157" s="214"/>
      <c r="BO157" s="215">
        <f t="shared" ref="BO157:BO168" si="145">MAX(BH157:BL157)</f>
        <v>233</v>
      </c>
      <c r="BP157" s="215">
        <f t="shared" ref="BP157:BP168" si="146">IF(BO157&lt;MAX(BO:BO),0,BO157+ROW()/1000000000)</f>
        <v>0</v>
      </c>
      <c r="BQ157" s="215" t="str">
        <f>+S153</f>
        <v>Adler Nürnberg 1</v>
      </c>
      <c r="BR157" s="214">
        <f t="shared" ref="BR157:BR168" si="147">RANK(BP157,BP:BP)</f>
        <v>2</v>
      </c>
      <c r="BS157" s="215">
        <f t="shared" ref="BS157:BS168" si="148">SUMIF(BH157:BL157,"&gt;0")</f>
        <v>838</v>
      </c>
      <c r="BT157" s="215">
        <f>IF(COUNTIF(BH157:BL157,"&gt;0")&lt;Spielorte!$A$23,0,BE157/Spielorte!$A$23)</f>
        <v>167.6</v>
      </c>
      <c r="BU157" s="215">
        <f t="shared" ref="BU157:BU168" si="149">IF(BT157&lt;MAX(BT:BT),0,BT157+ROW()/1000000000)</f>
        <v>0</v>
      </c>
      <c r="BV157" s="214">
        <f t="shared" ref="BV157:BV168" si="150">IF(BU157=0,0,RANK(BU157,BU:BU))</f>
        <v>0</v>
      </c>
    </row>
    <row r="158" spans="1:74" ht="17.100000000000001" customHeight="1" x14ac:dyDescent="0.2">
      <c r="A158" s="374"/>
      <c r="B158" s="19" t="str">
        <f t="shared" ref="B158:D170" si="151">IF(S158=0,"",S158)</f>
        <v/>
      </c>
      <c r="C158" s="20" t="str">
        <f t="shared" si="151"/>
        <v/>
      </c>
      <c r="D158" s="15" t="str">
        <f t="shared" si="151"/>
        <v/>
      </c>
      <c r="E158" s="353"/>
      <c r="F158" s="15" t="str">
        <f t="shared" si="130"/>
        <v/>
      </c>
      <c r="G158" s="353"/>
      <c r="H158" s="15" t="str">
        <f t="shared" si="131"/>
        <v/>
      </c>
      <c r="I158" s="353"/>
      <c r="J158" s="15" t="str">
        <f t="shared" si="132"/>
        <v/>
      </c>
      <c r="K158" s="353"/>
      <c r="L158" s="15" t="str">
        <f t="shared" si="133"/>
        <v/>
      </c>
      <c r="M158" s="353"/>
      <c r="N158" s="15" t="str">
        <f t="shared" si="134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35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36"/>
        <v>0</v>
      </c>
      <c r="BE158" s="213">
        <f t="shared" si="137"/>
        <v>0</v>
      </c>
      <c r="BF158" s="215">
        <f t="shared" si="138"/>
        <v>0</v>
      </c>
      <c r="BG158" s="215">
        <f t="shared" si="139"/>
        <v>0</v>
      </c>
      <c r="BH158" s="215" t="str">
        <f t="shared" si="140"/>
        <v/>
      </c>
      <c r="BI158" s="215" t="str">
        <f t="shared" si="141"/>
        <v/>
      </c>
      <c r="BJ158" s="215" t="str">
        <f t="shared" si="142"/>
        <v/>
      </c>
      <c r="BK158" s="215" t="str">
        <f t="shared" si="143"/>
        <v/>
      </c>
      <c r="BL158" s="215" t="str">
        <f t="shared" si="144"/>
        <v/>
      </c>
      <c r="BM158" s="216"/>
      <c r="BN158" s="214"/>
      <c r="BO158" s="215">
        <f t="shared" si="145"/>
        <v>0</v>
      </c>
      <c r="BP158" s="215">
        <f t="shared" si="146"/>
        <v>0</v>
      </c>
      <c r="BQ158" s="215" t="str">
        <f t="shared" ref="BQ158:BQ168" si="152">+BQ157</f>
        <v>Adler Nürnberg 1</v>
      </c>
      <c r="BR158" s="214">
        <f t="shared" si="147"/>
        <v>2</v>
      </c>
      <c r="BS158" s="215">
        <f t="shared" si="148"/>
        <v>0</v>
      </c>
      <c r="BT158" s="215">
        <f>IF(COUNTIF(BH158:BL158,"&gt;0")&lt;Spielorte!$A$23,0,BE158/Spielorte!$A$23)</f>
        <v>0</v>
      </c>
      <c r="BU158" s="215">
        <f t="shared" si="149"/>
        <v>0</v>
      </c>
      <c r="BV158" s="214">
        <f t="shared" si="150"/>
        <v>0</v>
      </c>
    </row>
    <row r="159" spans="1:74" ht="17.100000000000001" customHeight="1" thickBot="1" x14ac:dyDescent="0.25">
      <c r="A159" s="375"/>
      <c r="B159" s="21" t="str">
        <f t="shared" si="151"/>
        <v/>
      </c>
      <c r="C159" s="22" t="str">
        <f t="shared" si="151"/>
        <v/>
      </c>
      <c r="D159" s="9" t="str">
        <f t="shared" si="151"/>
        <v/>
      </c>
      <c r="E159" s="354"/>
      <c r="F159" s="9" t="str">
        <f t="shared" si="130"/>
        <v/>
      </c>
      <c r="G159" s="354"/>
      <c r="H159" s="9" t="str">
        <f t="shared" si="131"/>
        <v/>
      </c>
      <c r="I159" s="354"/>
      <c r="J159" s="9" t="str">
        <f t="shared" si="132"/>
        <v/>
      </c>
      <c r="K159" s="354"/>
      <c r="L159" s="9" t="str">
        <f t="shared" si="133"/>
        <v/>
      </c>
      <c r="M159" s="354"/>
      <c r="N159" s="9" t="str">
        <f t="shared" si="134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35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36"/>
        <v>0</v>
      </c>
      <c r="BE159" s="213">
        <f t="shared" si="137"/>
        <v>0</v>
      </c>
      <c r="BF159" s="215">
        <f t="shared" si="138"/>
        <v>0</v>
      </c>
      <c r="BG159" s="215">
        <f t="shared" si="139"/>
        <v>0</v>
      </c>
      <c r="BH159" s="215" t="str">
        <f t="shared" si="140"/>
        <v/>
      </c>
      <c r="BI159" s="215" t="str">
        <f t="shared" si="141"/>
        <v/>
      </c>
      <c r="BJ159" s="215" t="str">
        <f t="shared" si="142"/>
        <v/>
      </c>
      <c r="BK159" s="215" t="str">
        <f t="shared" si="143"/>
        <v/>
      </c>
      <c r="BL159" s="215" t="str">
        <f t="shared" si="144"/>
        <v/>
      </c>
      <c r="BM159" s="216"/>
      <c r="BN159" s="214"/>
      <c r="BO159" s="215">
        <f t="shared" si="145"/>
        <v>0</v>
      </c>
      <c r="BP159" s="215">
        <f t="shared" si="146"/>
        <v>0</v>
      </c>
      <c r="BQ159" s="215" t="str">
        <f t="shared" si="152"/>
        <v>Adler Nürnberg 1</v>
      </c>
      <c r="BR159" s="214">
        <f t="shared" si="147"/>
        <v>2</v>
      </c>
      <c r="BS159" s="215">
        <f t="shared" si="148"/>
        <v>0</v>
      </c>
      <c r="BT159" s="215">
        <f>IF(COUNTIF(BH159:BL159,"&gt;0")&lt;Spielorte!$A$23,0,BE159/Spielorte!$A$23)</f>
        <v>0</v>
      </c>
      <c r="BU159" s="215">
        <f t="shared" si="149"/>
        <v>0</v>
      </c>
      <c r="BV159" s="214">
        <f t="shared" si="150"/>
        <v>0</v>
      </c>
    </row>
    <row r="160" spans="1:74" ht="17.100000000000001" customHeight="1" x14ac:dyDescent="0.2">
      <c r="A160" s="373" t="s">
        <v>2</v>
      </c>
      <c r="B160" s="17" t="str">
        <f t="shared" si="151"/>
        <v>Beier, Thomas</v>
      </c>
      <c r="C160" s="18">
        <f t="shared" si="151"/>
        <v>16707</v>
      </c>
      <c r="D160" s="14">
        <f t="shared" si="151"/>
        <v>137</v>
      </c>
      <c r="E160" s="352">
        <f>IF(V160="","",V160)</f>
        <v>0</v>
      </c>
      <c r="F160" s="14">
        <f t="shared" si="130"/>
        <v>235</v>
      </c>
      <c r="G160" s="352">
        <f>IF(X160="","",X160)</f>
        <v>1</v>
      </c>
      <c r="H160" s="14">
        <f t="shared" si="131"/>
        <v>151</v>
      </c>
      <c r="I160" s="352">
        <f>IF(Z160="","",Z160)</f>
        <v>1</v>
      </c>
      <c r="J160" s="14">
        <f t="shared" si="132"/>
        <v>205</v>
      </c>
      <c r="K160" s="352">
        <f>IF(AB160="","",AB160)</f>
        <v>1</v>
      </c>
      <c r="L160" s="14">
        <f t="shared" si="133"/>
        <v>161</v>
      </c>
      <c r="M160" s="352">
        <f>IF(AD160="","",AD160)</f>
        <v>1</v>
      </c>
      <c r="N160" s="14">
        <f t="shared" si="134"/>
        <v>889</v>
      </c>
      <c r="O160" s="352">
        <f>IF(AF160="","",AF160)</f>
        <v>4</v>
      </c>
      <c r="R160" s="355" t="s">
        <v>2</v>
      </c>
      <c r="S160" s="68" t="str">
        <f>IF(T160=0,"",VLOOKUP(T160,Starter!$A$1:$D$196,2,FALSE))</f>
        <v>Beier, Thomas</v>
      </c>
      <c r="T160" s="178">
        <v>16707</v>
      </c>
      <c r="U160" s="186">
        <v>137</v>
      </c>
      <c r="V160" s="95">
        <f>IF(SUM(U160:U162)+U176=0,0,IF(ABS(SUM(U160:U162))=U176,0.5,IF(ABS(SUM(U160:U162))&gt;U176,1,0)))</f>
        <v>0</v>
      </c>
      <c r="W160" s="186">
        <v>235</v>
      </c>
      <c r="X160" s="95">
        <f>IF(SUM(W160:W162)+W176=0,0,IF(ABS(SUM(W160:W162))=W176,0.5,IF(ABS(SUM(W160:W162))&gt;W176,1,0)))</f>
        <v>1</v>
      </c>
      <c r="Y160" s="186">
        <v>151</v>
      </c>
      <c r="Z160" s="95">
        <f>IF(SUM(Y160:Y162)+Y176=0,0,IF(ABS(SUM(Y160:Y162))=Y176,0.5,IF(ABS(SUM(Y160:Y162))&gt;Y176,1,0)))</f>
        <v>1</v>
      </c>
      <c r="AA160" s="186">
        <v>205</v>
      </c>
      <c r="AB160" s="95">
        <f>IF(SUM(AA160:AA162)+AA176=0,0,IF(ABS(SUM(AA160:AA162))=AA176,0.5,IF(ABS(SUM(AA160:AA162))&gt;AA176,1,0)))</f>
        <v>1</v>
      </c>
      <c r="AC160" s="186">
        <v>161</v>
      </c>
      <c r="AD160" s="95">
        <f>IF(SUM(AC160:AC162)+AC176=0,0,IF(ABS(SUM(AC160:AC162))=AC176,0.5,IF(ABS(SUM(AC160:AC162))&gt;AC176,1,0)))</f>
        <v>1</v>
      </c>
      <c r="AE160" s="195">
        <f t="shared" si="135"/>
        <v>889</v>
      </c>
      <c r="AF160" s="180">
        <f>SUM(V160+X160+Z160+AB160+AD160)</f>
        <v>4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36"/>
        <v>16707</v>
      </c>
      <c r="BE160" s="213">
        <f t="shared" si="137"/>
        <v>889</v>
      </c>
      <c r="BF160" s="215">
        <f t="shared" si="138"/>
        <v>5</v>
      </c>
      <c r="BG160" s="215">
        <f t="shared" si="139"/>
        <v>5</v>
      </c>
      <c r="BH160" s="215">
        <f t="shared" si="140"/>
        <v>137</v>
      </c>
      <c r="BI160" s="215">
        <f t="shared" si="141"/>
        <v>235</v>
      </c>
      <c r="BJ160" s="215">
        <f t="shared" si="142"/>
        <v>151</v>
      </c>
      <c r="BK160" s="215">
        <f t="shared" si="143"/>
        <v>205</v>
      </c>
      <c r="BL160" s="215">
        <f t="shared" si="144"/>
        <v>161</v>
      </c>
      <c r="BM160" s="216"/>
      <c r="BN160" s="214"/>
      <c r="BO160" s="215">
        <f t="shared" si="145"/>
        <v>235</v>
      </c>
      <c r="BP160" s="215">
        <f t="shared" si="146"/>
        <v>235.00000016000001</v>
      </c>
      <c r="BQ160" s="215" t="str">
        <f t="shared" si="152"/>
        <v>Adler Nürnberg 1</v>
      </c>
      <c r="BR160" s="214">
        <f t="shared" si="147"/>
        <v>1</v>
      </c>
      <c r="BS160" s="215">
        <f t="shared" si="148"/>
        <v>889</v>
      </c>
      <c r="BT160" s="215">
        <f>IF(COUNTIF(BH160:BL160,"&gt;0")&lt;Spielorte!$A$23,0,BE160/Spielorte!$A$23)</f>
        <v>177.8</v>
      </c>
      <c r="BU160" s="215">
        <f t="shared" si="149"/>
        <v>0</v>
      </c>
      <c r="BV160" s="214">
        <f t="shared" si="150"/>
        <v>0</v>
      </c>
    </row>
    <row r="161" spans="1:74" ht="17.100000000000001" customHeight="1" x14ac:dyDescent="0.2">
      <c r="A161" s="374"/>
      <c r="B161" s="19" t="str">
        <f t="shared" si="151"/>
        <v/>
      </c>
      <c r="C161" s="20" t="str">
        <f t="shared" si="151"/>
        <v/>
      </c>
      <c r="D161" s="15" t="str">
        <f t="shared" si="151"/>
        <v/>
      </c>
      <c r="E161" s="353"/>
      <c r="F161" s="15" t="str">
        <f t="shared" si="130"/>
        <v/>
      </c>
      <c r="G161" s="353"/>
      <c r="H161" s="15" t="str">
        <f t="shared" si="131"/>
        <v/>
      </c>
      <c r="I161" s="353"/>
      <c r="J161" s="15" t="str">
        <f t="shared" si="132"/>
        <v/>
      </c>
      <c r="K161" s="353"/>
      <c r="L161" s="15" t="str">
        <f t="shared" si="133"/>
        <v/>
      </c>
      <c r="M161" s="353"/>
      <c r="N161" s="15" t="str">
        <f t="shared" si="134"/>
        <v/>
      </c>
      <c r="O161" s="353"/>
      <c r="R161" s="356"/>
      <c r="S161" s="68" t="str">
        <f>IF(T161=0,"",VLOOKUP(T161,Starter!$A$1:$D$196,2,FALSE))</f>
        <v/>
      </c>
      <c r="T161" s="176"/>
      <c r="U161" s="184"/>
      <c r="V161" s="96"/>
      <c r="W161" s="184"/>
      <c r="X161" s="96"/>
      <c r="Y161" s="184"/>
      <c r="Z161" s="96"/>
      <c r="AA161" s="184"/>
      <c r="AB161" s="96"/>
      <c r="AC161" s="184"/>
      <c r="AD161" s="96"/>
      <c r="AE161" s="196">
        <f t="shared" si="135"/>
        <v>0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36"/>
        <v>0</v>
      </c>
      <c r="BE161" s="213">
        <f t="shared" si="137"/>
        <v>0</v>
      </c>
      <c r="BF161" s="215">
        <f t="shared" si="138"/>
        <v>0</v>
      </c>
      <c r="BG161" s="215">
        <f t="shared" si="139"/>
        <v>0</v>
      </c>
      <c r="BH161" s="215" t="str">
        <f t="shared" si="140"/>
        <v/>
      </c>
      <c r="BI161" s="215" t="str">
        <f t="shared" si="141"/>
        <v/>
      </c>
      <c r="BJ161" s="215" t="str">
        <f t="shared" si="142"/>
        <v/>
      </c>
      <c r="BK161" s="215" t="str">
        <f t="shared" si="143"/>
        <v/>
      </c>
      <c r="BL161" s="215" t="str">
        <f t="shared" si="144"/>
        <v/>
      </c>
      <c r="BM161" s="216"/>
      <c r="BN161" s="214"/>
      <c r="BO161" s="215">
        <f t="shared" si="145"/>
        <v>0</v>
      </c>
      <c r="BP161" s="215">
        <f t="shared" si="146"/>
        <v>0</v>
      </c>
      <c r="BQ161" s="215" t="str">
        <f t="shared" si="152"/>
        <v>Adler Nürnberg 1</v>
      </c>
      <c r="BR161" s="214">
        <f t="shared" si="147"/>
        <v>2</v>
      </c>
      <c r="BS161" s="215">
        <f t="shared" si="148"/>
        <v>0</v>
      </c>
      <c r="BT161" s="215">
        <f>IF(COUNTIF(BH161:BL161,"&gt;0")&lt;Spielorte!$A$23,0,BE161/Spielorte!$A$23)</f>
        <v>0</v>
      </c>
      <c r="BU161" s="215">
        <f t="shared" si="149"/>
        <v>0</v>
      </c>
      <c r="BV161" s="214">
        <f t="shared" si="150"/>
        <v>0</v>
      </c>
    </row>
    <row r="162" spans="1:74" ht="17.100000000000001" customHeight="1" thickBot="1" x14ac:dyDescent="0.25">
      <c r="A162" s="375"/>
      <c r="B162" s="21" t="str">
        <f t="shared" si="151"/>
        <v/>
      </c>
      <c r="C162" s="22" t="str">
        <f t="shared" si="151"/>
        <v/>
      </c>
      <c r="D162" s="9" t="str">
        <f t="shared" si="151"/>
        <v/>
      </c>
      <c r="E162" s="354"/>
      <c r="F162" s="9" t="str">
        <f t="shared" si="130"/>
        <v/>
      </c>
      <c r="G162" s="354"/>
      <c r="H162" s="9" t="str">
        <f t="shared" si="131"/>
        <v/>
      </c>
      <c r="I162" s="354"/>
      <c r="J162" s="9" t="str">
        <f t="shared" si="132"/>
        <v/>
      </c>
      <c r="K162" s="354"/>
      <c r="L162" s="9" t="str">
        <f t="shared" si="133"/>
        <v/>
      </c>
      <c r="M162" s="354"/>
      <c r="N162" s="9" t="str">
        <f t="shared" si="134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35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36"/>
        <v>0</v>
      </c>
      <c r="BE162" s="213">
        <f t="shared" si="137"/>
        <v>0</v>
      </c>
      <c r="BF162" s="215">
        <f t="shared" si="138"/>
        <v>0</v>
      </c>
      <c r="BG162" s="215">
        <f t="shared" si="139"/>
        <v>0</v>
      </c>
      <c r="BH162" s="215" t="str">
        <f t="shared" si="140"/>
        <v/>
      </c>
      <c r="BI162" s="215" t="str">
        <f t="shared" si="141"/>
        <v/>
      </c>
      <c r="BJ162" s="215" t="str">
        <f t="shared" si="142"/>
        <v/>
      </c>
      <c r="BK162" s="215" t="str">
        <f t="shared" si="143"/>
        <v/>
      </c>
      <c r="BL162" s="215" t="str">
        <f t="shared" si="144"/>
        <v/>
      </c>
      <c r="BM162" s="216"/>
      <c r="BN162" s="214"/>
      <c r="BO162" s="215">
        <f t="shared" si="145"/>
        <v>0</v>
      </c>
      <c r="BP162" s="215">
        <f t="shared" si="146"/>
        <v>0</v>
      </c>
      <c r="BQ162" s="215" t="str">
        <f t="shared" si="152"/>
        <v>Adler Nürnberg 1</v>
      </c>
      <c r="BR162" s="214">
        <f t="shared" si="147"/>
        <v>2</v>
      </c>
      <c r="BS162" s="215">
        <f t="shared" si="148"/>
        <v>0</v>
      </c>
      <c r="BT162" s="215">
        <f>IF(COUNTIF(BH162:BL162,"&gt;0")&lt;Spielorte!$A$23,0,BE162/Spielorte!$A$23)</f>
        <v>0</v>
      </c>
      <c r="BU162" s="215">
        <f t="shared" si="149"/>
        <v>0</v>
      </c>
      <c r="BV162" s="214">
        <f t="shared" si="150"/>
        <v>0</v>
      </c>
    </row>
    <row r="163" spans="1:74" ht="17.100000000000001" customHeight="1" x14ac:dyDescent="0.2">
      <c r="A163" s="373" t="s">
        <v>3</v>
      </c>
      <c r="B163" s="17" t="str">
        <f t="shared" si="151"/>
        <v>Schmelzl, Werner</v>
      </c>
      <c r="C163" s="18">
        <f t="shared" si="151"/>
        <v>25811</v>
      </c>
      <c r="D163" s="14">
        <f t="shared" si="151"/>
        <v>135</v>
      </c>
      <c r="E163" s="352">
        <f>IF(V163="","",V163)</f>
        <v>0</v>
      </c>
      <c r="F163" s="14">
        <f t="shared" si="130"/>
        <v>214</v>
      </c>
      <c r="G163" s="352">
        <f>IF(X163="","",X163)</f>
        <v>1</v>
      </c>
      <c r="H163" s="14">
        <f t="shared" si="131"/>
        <v>181</v>
      </c>
      <c r="I163" s="352">
        <f>IF(Z163="","",Z163)</f>
        <v>0</v>
      </c>
      <c r="J163" s="14">
        <f t="shared" si="132"/>
        <v>161</v>
      </c>
      <c r="K163" s="352">
        <f>IF(AB163="","",AB163)</f>
        <v>1</v>
      </c>
      <c r="L163" s="14">
        <f t="shared" si="133"/>
        <v>164</v>
      </c>
      <c r="M163" s="352">
        <f>IF(AD163="","",AD163)</f>
        <v>0</v>
      </c>
      <c r="N163" s="14">
        <f t="shared" si="134"/>
        <v>855</v>
      </c>
      <c r="O163" s="352">
        <f>IF(AF163="","",AF163)</f>
        <v>2</v>
      </c>
      <c r="R163" s="355" t="s">
        <v>3</v>
      </c>
      <c r="S163" s="68" t="str">
        <f>IF(T163=0,"",VLOOKUP(T163,Starter!$A$1:$D$196,2,FALSE))</f>
        <v>Schmelzl, Werner</v>
      </c>
      <c r="T163" s="178">
        <v>25811</v>
      </c>
      <c r="U163" s="186">
        <v>135</v>
      </c>
      <c r="V163" s="95">
        <f>IF(SUM(U163:U165)+U177=0,0,IF(ABS(SUM(U163:U165))=U177,0.5,IF(ABS(SUM(U163:U165))&gt;U177,1,0)))</f>
        <v>0</v>
      </c>
      <c r="W163" s="186">
        <v>214</v>
      </c>
      <c r="X163" s="95">
        <f>IF(SUM(W163:W165)+W177=0,0,IF(ABS(SUM(W163:W165))=W177,0.5,IF(ABS(SUM(W163:W165))&gt;W177,1,0)))</f>
        <v>1</v>
      </c>
      <c r="Y163" s="186">
        <v>181</v>
      </c>
      <c r="Z163" s="95">
        <f>IF(SUM(Y163:Y165)+Y177=0,0,IF(ABS(SUM(Y163:Y165))=Y177,0.5,IF(ABS(SUM(Y163:Y165))&gt;Y177,1,0)))</f>
        <v>0</v>
      </c>
      <c r="AA163" s="186">
        <v>161</v>
      </c>
      <c r="AB163" s="95">
        <f>IF(SUM(AA163:AA165)+AA177=0,0,IF(ABS(SUM(AA163:AA165))=AA177,0.5,IF(ABS(SUM(AA163:AA165))&gt;AA177,1,0)))</f>
        <v>1</v>
      </c>
      <c r="AC163" s="186">
        <v>164</v>
      </c>
      <c r="AD163" s="95">
        <f>IF(SUM(AC163:AC165)+AC177=0,0,IF(ABS(SUM(AC163:AC165))=AC177,0.5,IF(ABS(SUM(AC163:AC165))&gt;AC177,1,0)))</f>
        <v>0</v>
      </c>
      <c r="AE163" s="195">
        <f t="shared" si="135"/>
        <v>855</v>
      </c>
      <c r="AF163" s="180">
        <f>SUM(V163+X163+Z163+AB163+AD163)</f>
        <v>2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36"/>
        <v>25811</v>
      </c>
      <c r="BE163" s="213">
        <f t="shared" si="137"/>
        <v>855</v>
      </c>
      <c r="BF163" s="215">
        <f t="shared" si="138"/>
        <v>5</v>
      </c>
      <c r="BG163" s="215">
        <f t="shared" si="139"/>
        <v>5</v>
      </c>
      <c r="BH163" s="215">
        <f t="shared" si="140"/>
        <v>135</v>
      </c>
      <c r="BI163" s="215">
        <f t="shared" si="141"/>
        <v>214</v>
      </c>
      <c r="BJ163" s="215">
        <f t="shared" si="142"/>
        <v>181</v>
      </c>
      <c r="BK163" s="215">
        <f t="shared" si="143"/>
        <v>161</v>
      </c>
      <c r="BL163" s="215">
        <f t="shared" si="144"/>
        <v>164</v>
      </c>
      <c r="BM163" s="216"/>
      <c r="BN163" s="214"/>
      <c r="BO163" s="215">
        <f t="shared" si="145"/>
        <v>214</v>
      </c>
      <c r="BP163" s="215">
        <f t="shared" si="146"/>
        <v>0</v>
      </c>
      <c r="BQ163" s="215" t="str">
        <f t="shared" si="152"/>
        <v>Adler Nürnberg 1</v>
      </c>
      <c r="BR163" s="214">
        <f t="shared" si="147"/>
        <v>2</v>
      </c>
      <c r="BS163" s="215">
        <f t="shared" si="148"/>
        <v>855</v>
      </c>
      <c r="BT163" s="215">
        <f>IF(COUNTIF(BH163:BL163,"&gt;0")&lt;Spielorte!$A$23,0,BE163/Spielorte!$A$23)</f>
        <v>171</v>
      </c>
      <c r="BU163" s="215">
        <f t="shared" si="149"/>
        <v>0</v>
      </c>
      <c r="BV163" s="214">
        <f t="shared" si="150"/>
        <v>0</v>
      </c>
    </row>
    <row r="164" spans="1:74" ht="17.100000000000001" customHeight="1" x14ac:dyDescent="0.2">
      <c r="A164" s="374"/>
      <c r="B164" s="19" t="str">
        <f t="shared" si="151"/>
        <v/>
      </c>
      <c r="C164" s="20" t="str">
        <f t="shared" si="151"/>
        <v/>
      </c>
      <c r="D164" s="15" t="str">
        <f t="shared" si="151"/>
        <v/>
      </c>
      <c r="E164" s="353"/>
      <c r="F164" s="15" t="str">
        <f t="shared" si="130"/>
        <v/>
      </c>
      <c r="G164" s="353"/>
      <c r="H164" s="15" t="str">
        <f t="shared" si="131"/>
        <v/>
      </c>
      <c r="I164" s="353"/>
      <c r="J164" s="15" t="str">
        <f t="shared" si="132"/>
        <v/>
      </c>
      <c r="K164" s="353"/>
      <c r="L164" s="15" t="str">
        <f t="shared" si="133"/>
        <v/>
      </c>
      <c r="M164" s="353"/>
      <c r="N164" s="15" t="str">
        <f t="shared" si="134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35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36"/>
        <v>0</v>
      </c>
      <c r="BE164" s="213">
        <f t="shared" si="137"/>
        <v>0</v>
      </c>
      <c r="BF164" s="215">
        <f t="shared" si="138"/>
        <v>0</v>
      </c>
      <c r="BG164" s="215">
        <f t="shared" si="139"/>
        <v>0</v>
      </c>
      <c r="BH164" s="215" t="str">
        <f t="shared" si="140"/>
        <v/>
      </c>
      <c r="BI164" s="215" t="str">
        <f t="shared" si="141"/>
        <v/>
      </c>
      <c r="BJ164" s="215" t="str">
        <f t="shared" si="142"/>
        <v/>
      </c>
      <c r="BK164" s="215" t="str">
        <f t="shared" si="143"/>
        <v/>
      </c>
      <c r="BL164" s="215" t="str">
        <f t="shared" si="144"/>
        <v/>
      </c>
      <c r="BM164" s="216"/>
      <c r="BN164" s="214"/>
      <c r="BO164" s="215">
        <f t="shared" si="145"/>
        <v>0</v>
      </c>
      <c r="BP164" s="215">
        <f t="shared" si="146"/>
        <v>0</v>
      </c>
      <c r="BQ164" s="215" t="str">
        <f t="shared" si="152"/>
        <v>Adler Nürnberg 1</v>
      </c>
      <c r="BR164" s="214">
        <f t="shared" si="147"/>
        <v>2</v>
      </c>
      <c r="BS164" s="215">
        <f t="shared" si="148"/>
        <v>0</v>
      </c>
      <c r="BT164" s="215">
        <f>IF(COUNTIF(BH164:BL164,"&gt;0")&lt;Spielorte!$A$23,0,BE164/Spielorte!$A$23)</f>
        <v>0</v>
      </c>
      <c r="BU164" s="215">
        <f t="shared" si="149"/>
        <v>0</v>
      </c>
      <c r="BV164" s="214">
        <f t="shared" si="150"/>
        <v>0</v>
      </c>
    </row>
    <row r="165" spans="1:74" ht="17.100000000000001" customHeight="1" thickBot="1" x14ac:dyDescent="0.25">
      <c r="A165" s="375"/>
      <c r="B165" s="21" t="str">
        <f t="shared" si="151"/>
        <v/>
      </c>
      <c r="C165" s="22" t="str">
        <f t="shared" si="151"/>
        <v/>
      </c>
      <c r="D165" s="9" t="str">
        <f t="shared" si="151"/>
        <v/>
      </c>
      <c r="E165" s="354"/>
      <c r="F165" s="9" t="str">
        <f t="shared" si="130"/>
        <v/>
      </c>
      <c r="G165" s="354"/>
      <c r="H165" s="9" t="str">
        <f t="shared" si="131"/>
        <v/>
      </c>
      <c r="I165" s="354"/>
      <c r="J165" s="9" t="str">
        <f t="shared" si="132"/>
        <v/>
      </c>
      <c r="K165" s="354"/>
      <c r="L165" s="9" t="str">
        <f t="shared" si="133"/>
        <v/>
      </c>
      <c r="M165" s="354"/>
      <c r="N165" s="9" t="str">
        <f t="shared" si="134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35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36"/>
        <v>0</v>
      </c>
      <c r="BE165" s="213">
        <f t="shared" si="137"/>
        <v>0</v>
      </c>
      <c r="BF165" s="215">
        <f t="shared" si="138"/>
        <v>0</v>
      </c>
      <c r="BG165" s="215">
        <f t="shared" si="139"/>
        <v>0</v>
      </c>
      <c r="BH165" s="215" t="str">
        <f t="shared" si="140"/>
        <v/>
      </c>
      <c r="BI165" s="215" t="str">
        <f t="shared" si="141"/>
        <v/>
      </c>
      <c r="BJ165" s="215" t="str">
        <f t="shared" si="142"/>
        <v/>
      </c>
      <c r="BK165" s="215" t="str">
        <f t="shared" si="143"/>
        <v/>
      </c>
      <c r="BL165" s="215" t="str">
        <f t="shared" si="144"/>
        <v/>
      </c>
      <c r="BM165" s="216"/>
      <c r="BN165" s="214"/>
      <c r="BO165" s="215">
        <f t="shared" si="145"/>
        <v>0</v>
      </c>
      <c r="BP165" s="215">
        <f t="shared" si="146"/>
        <v>0</v>
      </c>
      <c r="BQ165" s="215" t="str">
        <f t="shared" si="152"/>
        <v>Adler Nürnberg 1</v>
      </c>
      <c r="BR165" s="214">
        <f t="shared" si="147"/>
        <v>2</v>
      </c>
      <c r="BS165" s="215">
        <f t="shared" si="148"/>
        <v>0</v>
      </c>
      <c r="BT165" s="215">
        <f>IF(COUNTIF(BH165:BL165,"&gt;0")&lt;Spielorte!$A$23,0,BE165/Spielorte!$A$23)</f>
        <v>0</v>
      </c>
      <c r="BU165" s="215">
        <f t="shared" si="149"/>
        <v>0</v>
      </c>
      <c r="BV165" s="214">
        <f t="shared" si="150"/>
        <v>0</v>
      </c>
    </row>
    <row r="166" spans="1:74" ht="17.100000000000001" customHeight="1" x14ac:dyDescent="0.2">
      <c r="A166" s="373" t="s">
        <v>11</v>
      </c>
      <c r="B166" s="17" t="str">
        <f>IF(S166=0,"",S166)</f>
        <v>Schmitt, Peter</v>
      </c>
      <c r="C166" s="18">
        <f t="shared" si="151"/>
        <v>7761</v>
      </c>
      <c r="D166" s="14">
        <f t="shared" si="151"/>
        <v>204</v>
      </c>
      <c r="E166" s="352">
        <f>IF(V166="","",V166)</f>
        <v>1</v>
      </c>
      <c r="F166" s="14">
        <f t="shared" si="130"/>
        <v>211</v>
      </c>
      <c r="G166" s="352">
        <f>IF(X166="","",X166)</f>
        <v>1</v>
      </c>
      <c r="H166" s="14">
        <f t="shared" si="131"/>
        <v>202</v>
      </c>
      <c r="I166" s="352">
        <f>IF(Z166="","",Z166)</f>
        <v>0</v>
      </c>
      <c r="J166" s="14">
        <f t="shared" si="132"/>
        <v>128</v>
      </c>
      <c r="K166" s="352">
        <f>IF(AB166="","",AB166)</f>
        <v>0</v>
      </c>
      <c r="L166" s="14">
        <f t="shared" si="133"/>
        <v>186</v>
      </c>
      <c r="M166" s="352">
        <f>IF(AD166="","",AD166)</f>
        <v>1</v>
      </c>
      <c r="N166" s="14">
        <f t="shared" si="134"/>
        <v>931</v>
      </c>
      <c r="O166" s="352">
        <f>IF(AF166="","",AF166)</f>
        <v>3</v>
      </c>
      <c r="R166" s="355" t="s">
        <v>11</v>
      </c>
      <c r="S166" s="68" t="str">
        <f>IF(T166=0,"",VLOOKUP(T166,Starter!$A$1:$D$196,2,FALSE))</f>
        <v>Schmitt, Peter</v>
      </c>
      <c r="T166" s="178">
        <v>7761</v>
      </c>
      <c r="U166" s="186">
        <v>204</v>
      </c>
      <c r="V166" s="95">
        <f>IF(SUM(U166:U168)+U178=0,0,IF(ABS(SUM(U166:U168))=U178,0.5,IF(ABS(SUM(U166:U168))&gt;U178,1,0)))</f>
        <v>1</v>
      </c>
      <c r="W166" s="186">
        <v>211</v>
      </c>
      <c r="X166" s="95">
        <f>IF(SUM(W166:W168)+W178=0,0,IF(ABS(SUM(W166:W168))=W178,0.5,IF(ABS(SUM(W166:W168))&gt;W178,1,0)))</f>
        <v>1</v>
      </c>
      <c r="Y166" s="186">
        <v>202</v>
      </c>
      <c r="Z166" s="95">
        <f>IF(SUM(Y166:Y168)+Y178=0,0,IF(ABS(SUM(Y166:Y168))=Y178,0.5,IF(ABS(SUM(Y166:Y168))&gt;Y178,1,0)))</f>
        <v>0</v>
      </c>
      <c r="AA166" s="186">
        <v>128</v>
      </c>
      <c r="AB166" s="95">
        <f>IF(SUM(AA166:AA168)+AA178=0,0,IF(ABS(SUM(AA166:AA168))=AA178,0.5,IF(ABS(SUM(AA166:AA168))&gt;AA178,1,0)))</f>
        <v>0</v>
      </c>
      <c r="AC166" s="186">
        <v>186</v>
      </c>
      <c r="AD166" s="95">
        <f>IF(SUM(AC166:AC168)+AC178=0,0,IF(ABS(SUM(AC166:AC168))=AC178,0.5,IF(ABS(SUM(AC166:AC168))&gt;AC178,1,0)))</f>
        <v>1</v>
      </c>
      <c r="AE166" s="195">
        <f t="shared" si="135"/>
        <v>931</v>
      </c>
      <c r="AF166" s="180">
        <f>SUM(V166+X166+Z166+AB166+AD166)</f>
        <v>3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36"/>
        <v>7761</v>
      </c>
      <c r="BE166" s="213">
        <f t="shared" si="137"/>
        <v>931</v>
      </c>
      <c r="BF166" s="215">
        <f t="shared" si="138"/>
        <v>5</v>
      </c>
      <c r="BG166" s="215">
        <f t="shared" si="139"/>
        <v>5</v>
      </c>
      <c r="BH166" s="215">
        <f t="shared" si="140"/>
        <v>204</v>
      </c>
      <c r="BI166" s="215">
        <f t="shared" si="141"/>
        <v>211</v>
      </c>
      <c r="BJ166" s="215">
        <f t="shared" si="142"/>
        <v>202</v>
      </c>
      <c r="BK166" s="215">
        <f t="shared" si="143"/>
        <v>128</v>
      </c>
      <c r="BL166" s="215">
        <f t="shared" si="144"/>
        <v>186</v>
      </c>
      <c r="BM166" s="216"/>
      <c r="BN166" s="214"/>
      <c r="BO166" s="215">
        <f t="shared" si="145"/>
        <v>211</v>
      </c>
      <c r="BP166" s="215">
        <f t="shared" si="146"/>
        <v>0</v>
      </c>
      <c r="BQ166" s="215" t="str">
        <f t="shared" si="152"/>
        <v>Adler Nürnberg 1</v>
      </c>
      <c r="BR166" s="214">
        <f t="shared" si="147"/>
        <v>2</v>
      </c>
      <c r="BS166" s="215">
        <f t="shared" si="148"/>
        <v>931</v>
      </c>
      <c r="BT166" s="215">
        <f>IF(COUNTIF(BH166:BL166,"&gt;0")&lt;Spielorte!$A$23,0,BE166/Spielorte!$A$23)</f>
        <v>186.2</v>
      </c>
      <c r="BU166" s="215">
        <f t="shared" si="149"/>
        <v>0</v>
      </c>
      <c r="BV166" s="214">
        <f t="shared" si="150"/>
        <v>0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51"/>
        <v/>
      </c>
      <c r="D167" s="15" t="str">
        <f t="shared" si="151"/>
        <v/>
      </c>
      <c r="E167" s="353"/>
      <c r="F167" s="15" t="str">
        <f t="shared" si="130"/>
        <v/>
      </c>
      <c r="G167" s="353"/>
      <c r="H167" s="15" t="str">
        <f t="shared" si="131"/>
        <v/>
      </c>
      <c r="I167" s="353"/>
      <c r="J167" s="15" t="str">
        <f t="shared" si="132"/>
        <v/>
      </c>
      <c r="K167" s="353"/>
      <c r="L167" s="15" t="str">
        <f t="shared" si="133"/>
        <v/>
      </c>
      <c r="M167" s="353"/>
      <c r="N167" s="15" t="str">
        <f t="shared" si="134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35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36"/>
        <v>0</v>
      </c>
      <c r="BE167" s="213">
        <f t="shared" si="137"/>
        <v>0</v>
      </c>
      <c r="BF167" s="215">
        <f t="shared" si="138"/>
        <v>0</v>
      </c>
      <c r="BG167" s="215">
        <f t="shared" si="139"/>
        <v>0</v>
      </c>
      <c r="BH167" s="215" t="str">
        <f t="shared" si="140"/>
        <v/>
      </c>
      <c r="BI167" s="215" t="str">
        <f t="shared" si="141"/>
        <v/>
      </c>
      <c r="BJ167" s="215" t="str">
        <f t="shared" si="142"/>
        <v/>
      </c>
      <c r="BK167" s="215" t="str">
        <f t="shared" si="143"/>
        <v/>
      </c>
      <c r="BL167" s="215" t="str">
        <f t="shared" si="144"/>
        <v/>
      </c>
      <c r="BM167" s="216"/>
      <c r="BN167" s="214"/>
      <c r="BO167" s="215">
        <f t="shared" si="145"/>
        <v>0</v>
      </c>
      <c r="BP167" s="215">
        <f t="shared" si="146"/>
        <v>0</v>
      </c>
      <c r="BQ167" s="215" t="str">
        <f t="shared" si="152"/>
        <v>Adler Nürnberg 1</v>
      </c>
      <c r="BR167" s="214">
        <f t="shared" si="147"/>
        <v>2</v>
      </c>
      <c r="BS167" s="215">
        <f t="shared" si="148"/>
        <v>0</v>
      </c>
      <c r="BT167" s="215">
        <f>IF(COUNTIF(BH167:BL167,"&gt;0")&lt;Spielorte!$A$23,0,BE167/Spielorte!$A$23)</f>
        <v>0</v>
      </c>
      <c r="BU167" s="215">
        <f t="shared" si="149"/>
        <v>0</v>
      </c>
      <c r="BV167" s="214">
        <f t="shared" si="150"/>
        <v>0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51"/>
        <v/>
      </c>
      <c r="D168" s="9" t="str">
        <f t="shared" si="151"/>
        <v/>
      </c>
      <c r="E168" s="354"/>
      <c r="F168" s="9" t="str">
        <f t="shared" si="130"/>
        <v/>
      </c>
      <c r="G168" s="354"/>
      <c r="H168" s="9" t="str">
        <f t="shared" si="131"/>
        <v/>
      </c>
      <c r="I168" s="354"/>
      <c r="J168" s="9" t="str">
        <f t="shared" si="132"/>
        <v/>
      </c>
      <c r="K168" s="354"/>
      <c r="L168" s="9" t="str">
        <f t="shared" si="133"/>
        <v/>
      </c>
      <c r="M168" s="354"/>
      <c r="N168" s="9" t="str">
        <f t="shared" si="134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35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36"/>
        <v>0</v>
      </c>
      <c r="BE168" s="213">
        <f t="shared" si="137"/>
        <v>0</v>
      </c>
      <c r="BF168" s="215">
        <f t="shared" si="138"/>
        <v>0</v>
      </c>
      <c r="BG168" s="215">
        <f t="shared" si="139"/>
        <v>0</v>
      </c>
      <c r="BH168" s="215" t="str">
        <f t="shared" si="140"/>
        <v/>
      </c>
      <c r="BI168" s="215" t="str">
        <f t="shared" si="141"/>
        <v/>
      </c>
      <c r="BJ168" s="215" t="str">
        <f t="shared" si="142"/>
        <v/>
      </c>
      <c r="BK168" s="215" t="str">
        <f t="shared" si="143"/>
        <v/>
      </c>
      <c r="BL168" s="215" t="str">
        <f t="shared" si="144"/>
        <v/>
      </c>
      <c r="BM168" s="216"/>
      <c r="BN168" s="214"/>
      <c r="BO168" s="215">
        <f t="shared" si="145"/>
        <v>0</v>
      </c>
      <c r="BP168" s="215">
        <f t="shared" si="146"/>
        <v>0</v>
      </c>
      <c r="BQ168" s="215" t="str">
        <f t="shared" si="152"/>
        <v>Adler Nürnberg 1</v>
      </c>
      <c r="BR168" s="214">
        <f t="shared" si="147"/>
        <v>2</v>
      </c>
      <c r="BS168" s="215">
        <f t="shared" si="148"/>
        <v>0</v>
      </c>
      <c r="BT168" s="215">
        <f>IF(COUNTIF(BH168:BL168,"&gt;0")&lt;Spielorte!$A$23,0,BE168/Spielorte!$A$23)</f>
        <v>0</v>
      </c>
      <c r="BU168" s="215">
        <f t="shared" si="149"/>
        <v>0</v>
      </c>
      <c r="BV168" s="214">
        <f t="shared" si="150"/>
        <v>0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51"/>
        <v/>
      </c>
      <c r="D169" s="16">
        <f t="shared" si="151"/>
        <v>709</v>
      </c>
      <c r="E169" s="12">
        <f>IF(V169="","",V169)</f>
        <v>0</v>
      </c>
      <c r="F169" s="16">
        <f t="shared" si="130"/>
        <v>829</v>
      </c>
      <c r="G169" s="12">
        <f>IF(X169="","",X169)</f>
        <v>2</v>
      </c>
      <c r="H169" s="16">
        <f t="shared" si="131"/>
        <v>695</v>
      </c>
      <c r="I169" s="12">
        <f>IF(Z169="","",Z169)</f>
        <v>0</v>
      </c>
      <c r="J169" s="16">
        <f t="shared" si="132"/>
        <v>622</v>
      </c>
      <c r="K169" s="12">
        <f>IF(AB169="","",AB169)</f>
        <v>2</v>
      </c>
      <c r="L169" s="16">
        <f t="shared" si="133"/>
        <v>658</v>
      </c>
      <c r="M169" s="12">
        <f>IF(AD169="","",AD169)</f>
        <v>2</v>
      </c>
      <c r="N169" s="16">
        <f t="shared" si="134"/>
        <v>3513</v>
      </c>
      <c r="O169" s="12">
        <f>IF(AF169="","",AF169)</f>
        <v>6</v>
      </c>
      <c r="S169" s="11" t="s">
        <v>1791</v>
      </c>
      <c r="T169" s="71"/>
      <c r="U169" s="188">
        <f>ABS(SUM(U157:U159))+ABS(SUM(U160:U162))+ABS(SUM(U163:U165))+ABS(SUM(U166:U168))</f>
        <v>709</v>
      </c>
      <c r="V169" s="98">
        <f>IF(U169+U179=0,0,IF(U169=U179,1,IF(U169&gt;U179,2,0)))</f>
        <v>0</v>
      </c>
      <c r="W169" s="188">
        <f>ABS(SUM(W157:W159))+ABS(SUM(W160:W162))+ABS(SUM(W163:W165))+ABS(SUM(W166:W168))</f>
        <v>829</v>
      </c>
      <c r="X169" s="98">
        <f>IF(W169+W179=0,0,IF(W169=W179,1,IF(W169&gt;W179,2,0)))</f>
        <v>2</v>
      </c>
      <c r="Y169" s="188">
        <f>ABS(SUM(Y157:Y159))+ABS(SUM(Y160:Y162))+ABS(SUM(Y163:Y165))+ABS(SUM(Y166:Y168))</f>
        <v>695</v>
      </c>
      <c r="Z169" s="98">
        <f>IF(Y169+Y179=0,0,IF(Y169=Y179,1,IF(Y169&gt;Y179,2,0)))</f>
        <v>0</v>
      </c>
      <c r="AA169" s="188">
        <f>ABS(SUM(AA157:AA159))+ABS(SUM(AA160:AA162))+ABS(SUM(AA163:AA165))+ABS(SUM(AA166:AA168))</f>
        <v>622</v>
      </c>
      <c r="AB169" s="98">
        <f>IF(AA169+AA179=0,0,IF(AA169=AA179,1,IF(AA169&gt;AA179,2,0)))</f>
        <v>2</v>
      </c>
      <c r="AC169" s="188">
        <f>ABS(SUM(AC157:AC159))+ABS(SUM(AC160:AC162))+ABS(SUM(AC163:AC165))+ABS(SUM(AC166:AC168))</f>
        <v>658</v>
      </c>
      <c r="AD169" s="98">
        <f>IF(AC169+AC179=0,0,IF(AC169=AC179,1,IF(AC169&gt;AC179,2,0)))</f>
        <v>2</v>
      </c>
      <c r="AE169" s="198">
        <f>SUM(U169+W169+Y169+AA169+AC169)</f>
        <v>3513</v>
      </c>
      <c r="AF169" s="12">
        <f>SUM(V169+X169+Z169+AB169+AD169)</f>
        <v>6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51"/>
        <v/>
      </c>
      <c r="D170" s="1" t="str">
        <f t="shared" si="151"/>
        <v/>
      </c>
      <c r="E170" s="23">
        <f>IF(V170="","",V170)</f>
        <v>2</v>
      </c>
      <c r="F170" s="1" t="str">
        <f t="shared" si="130"/>
        <v/>
      </c>
      <c r="G170" s="23">
        <f>IF(X170="","",X170)</f>
        <v>6</v>
      </c>
      <c r="H170" s="1" t="str">
        <f t="shared" si="131"/>
        <v/>
      </c>
      <c r="I170" s="23">
        <f>IF(Z170="","",Z170)</f>
        <v>1</v>
      </c>
      <c r="J170" s="1" t="str">
        <f t="shared" si="132"/>
        <v/>
      </c>
      <c r="K170" s="23">
        <f>IF(AB170="","",AB170)</f>
        <v>4</v>
      </c>
      <c r="L170" s="1" t="str">
        <f t="shared" si="133"/>
        <v/>
      </c>
      <c r="M170" s="23">
        <f>IF(AD170="","",AD170)</f>
        <v>5</v>
      </c>
      <c r="N170" s="1" t="str">
        <f t="shared" si="134"/>
        <v/>
      </c>
      <c r="O170" s="23">
        <f>IF(AF170="","",AF170)</f>
        <v>18</v>
      </c>
      <c r="S170" s="8" t="s">
        <v>1802</v>
      </c>
      <c r="T170" s="1"/>
      <c r="U170" s="1"/>
      <c r="V170" s="72">
        <f>SUM(V157:V169)</f>
        <v>2</v>
      </c>
      <c r="W170" s="1"/>
      <c r="X170" s="72">
        <f>SUM(X157:X169)</f>
        <v>6</v>
      </c>
      <c r="Y170" s="1"/>
      <c r="Z170" s="72">
        <f>SUM(Z157:Z169)</f>
        <v>1</v>
      </c>
      <c r="AA170" s="1"/>
      <c r="AB170" s="72">
        <f>SUM(AB157:AB169)</f>
        <v>4</v>
      </c>
      <c r="AC170" s="1"/>
      <c r="AD170" s="72">
        <f>SUM(AD157:AD169)</f>
        <v>5</v>
      </c>
      <c r="AE170" s="1"/>
      <c r="AF170" s="72">
        <f>SUM(AF157:AF169)</f>
        <v>18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18</v>
      </c>
      <c r="BB170" s="213">
        <f>AE169</f>
        <v>3513</v>
      </c>
      <c r="BC170" s="214">
        <f>+S152</f>
        <v>6</v>
      </c>
      <c r="BF170" s="215">
        <f>SUM(BF151:BF169)</f>
        <v>20</v>
      </c>
      <c r="BM170" s="212">
        <f>+BB170/1000000+BA170</f>
        <v>18.003513000000002</v>
      </c>
      <c r="BN170" s="214">
        <f>RANK(BM170,BM:BM)</f>
        <v>1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K174" si="153">IF(S172=0,"",S172)</f>
        <v>Gegner-Nr.:</v>
      </c>
      <c r="C172" s="5" t="str">
        <f t="shared" si="153"/>
        <v>&gt;&gt;&gt;&gt;</v>
      </c>
      <c r="D172" s="350">
        <f t="shared" si="153"/>
        <v>2</v>
      </c>
      <c r="E172" s="350" t="str">
        <f t="shared" si="153"/>
        <v/>
      </c>
      <c r="F172" s="350">
        <f t="shared" si="153"/>
        <v>1</v>
      </c>
      <c r="G172" s="350" t="str">
        <f t="shared" si="153"/>
        <v/>
      </c>
      <c r="H172" s="350">
        <f t="shared" si="153"/>
        <v>5</v>
      </c>
      <c r="I172" s="350" t="str">
        <f t="shared" si="153"/>
        <v/>
      </c>
      <c r="J172" s="350">
        <f t="shared" si="153"/>
        <v>3</v>
      </c>
      <c r="K172" s="350" t="str">
        <f t="shared" si="153"/>
        <v/>
      </c>
      <c r="L172" s="350">
        <f t="shared" ref="L172:M174" si="154">IF(AC172=0,"",AC172)</f>
        <v>4</v>
      </c>
      <c r="M172" s="350" t="str">
        <f t="shared" si="154"/>
        <v/>
      </c>
      <c r="N172" s="351"/>
      <c r="O172" s="351"/>
      <c r="S172" s="13" t="s">
        <v>1789</v>
      </c>
      <c r="T172" s="5" t="s">
        <v>1790</v>
      </c>
      <c r="U172" s="369">
        <f>VLOOKUP($S152,Schlüssel!$A$5:$DG$10,43)</f>
        <v>2</v>
      </c>
      <c r="V172" s="370"/>
      <c r="W172" s="369">
        <f>VLOOKUP($S152,Schlüssel!$A$5:$EK$10,44)</f>
        <v>1</v>
      </c>
      <c r="X172" s="370"/>
      <c r="Y172" s="369">
        <f>VLOOKUP($S152,Schlüssel!$A$5:$EK$10,45)</f>
        <v>5</v>
      </c>
      <c r="Z172" s="370"/>
      <c r="AA172" s="369">
        <f>VLOOKUP($S152,Schlüssel!$A$5:$EK$10,46)</f>
        <v>3</v>
      </c>
      <c r="AB172" s="370"/>
      <c r="AC172" s="369">
        <f>VLOOKUP($S152,Schlüssel!$A$5:$EK$10,47)</f>
        <v>4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si="153"/>
        <v/>
      </c>
      <c r="C173" s="1" t="str">
        <f t="shared" si="153"/>
        <v/>
      </c>
      <c r="D173" s="347" t="str">
        <f t="shared" si="153"/>
        <v>Herzogenaurach 1</v>
      </c>
      <c r="E173" s="348" t="str">
        <f t="shared" si="153"/>
        <v/>
      </c>
      <c r="F173" s="347" t="str">
        <f t="shared" si="153"/>
        <v>Castra Regina Regensburg 3</v>
      </c>
      <c r="G173" s="348" t="str">
        <f t="shared" si="153"/>
        <v/>
      </c>
      <c r="H173" s="347" t="str">
        <f t="shared" si="153"/>
        <v>Castra Regina Regensburg 2</v>
      </c>
      <c r="I173" s="348" t="str">
        <f t="shared" si="153"/>
        <v/>
      </c>
      <c r="J173" s="347" t="str">
        <f t="shared" si="153"/>
        <v>Kings Club Bayreuth Land 2</v>
      </c>
      <c r="K173" s="348" t="str">
        <f t="shared" si="153"/>
        <v/>
      </c>
      <c r="L173" s="347" t="str">
        <f t="shared" si="154"/>
        <v>Kings Club Bayreuth Land 3</v>
      </c>
      <c r="M173" s="348" t="str">
        <f t="shared" si="154"/>
        <v/>
      </c>
      <c r="N173" s="349"/>
      <c r="O173" s="349"/>
      <c r="S173" s="4"/>
      <c r="T173" s="1"/>
      <c r="U173" s="347" t="str">
        <f>VLOOKUP(U172,Schlüssel!$A$5:$K$10,2)</f>
        <v>Herzogenaurach 1</v>
      </c>
      <c r="V173" s="348"/>
      <c r="W173" s="347" t="str">
        <f>VLOOKUP(W172,Schlüssel!$A$5:$K$10,2)</f>
        <v>Castra Regina Regensburg 3</v>
      </c>
      <c r="X173" s="348"/>
      <c r="Y173" s="347" t="str">
        <f>VLOOKUP(Y172,Schlüssel!$A$5:$K$10,2)</f>
        <v>Castra Regina Regensburg 2</v>
      </c>
      <c r="Z173" s="348"/>
      <c r="AA173" s="347" t="str">
        <f>VLOOKUP(AA172,Schlüssel!$A$5:$K$10,2)</f>
        <v>Kings Club Bayreuth Land 2</v>
      </c>
      <c r="AB173" s="348"/>
      <c r="AC173" s="347" t="str">
        <f>VLOOKUP(AC172,Schlüssel!$A$5:$K$10,2)</f>
        <v>Kings Club Bayreuth Land 3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53"/>
        <v/>
      </c>
      <c r="C174" s="1" t="str">
        <f t="shared" si="153"/>
        <v/>
      </c>
      <c r="D174" s="346" t="str">
        <f t="shared" si="153"/>
        <v/>
      </c>
      <c r="E174" s="346" t="str">
        <f t="shared" si="153"/>
        <v/>
      </c>
      <c r="F174" s="346" t="str">
        <f t="shared" si="153"/>
        <v/>
      </c>
      <c r="G174" s="346" t="str">
        <f t="shared" si="153"/>
        <v/>
      </c>
      <c r="H174" s="346" t="str">
        <f t="shared" si="153"/>
        <v/>
      </c>
      <c r="I174" s="346" t="str">
        <f t="shared" si="153"/>
        <v/>
      </c>
      <c r="J174" s="346" t="str">
        <f t="shared" si="153"/>
        <v/>
      </c>
      <c r="K174" s="346" t="str">
        <f t="shared" si="153"/>
        <v/>
      </c>
      <c r="L174" s="346" t="str">
        <f t="shared" si="154"/>
        <v/>
      </c>
      <c r="M174" s="346" t="str">
        <f t="shared" si="154"/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ref="B175:C179" si="155">IF(S175=0,"",S175)</f>
        <v>Spieler 1</v>
      </c>
      <c r="C175" s="372" t="str">
        <f t="shared" si="155"/>
        <v/>
      </c>
      <c r="D175" s="344">
        <f>IF(U175=301,"",U175)</f>
        <v>194</v>
      </c>
      <c r="E175" s="344" t="str">
        <f>IF(V175=0,"",V175)</f>
        <v/>
      </c>
      <c r="F175" s="344">
        <f>IF(W175=301,"",W175)</f>
        <v>137</v>
      </c>
      <c r="G175" s="344" t="str">
        <f>IF(X175=0,"",X175)</f>
        <v/>
      </c>
      <c r="H175" s="344">
        <f>IF(Y175=301,"",Y175)</f>
        <v>171</v>
      </c>
      <c r="I175" s="344" t="str">
        <f>IF(Z175=0,"",Z175)</f>
        <v/>
      </c>
      <c r="J175" s="344">
        <f>IF(AA175=301,"",AA175)</f>
        <v>149</v>
      </c>
      <c r="K175" s="344" t="str">
        <f>IF(AB175=0,"",AB175)</f>
        <v/>
      </c>
      <c r="L175" s="344">
        <f>IF(AC175=301,"",AC175)</f>
        <v>144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194</v>
      </c>
      <c r="V175" s="368"/>
      <c r="W175" s="367">
        <f>ABS(INDEX(W:W,MATCH(W172,$S:$S,0)+5)+INDEX(W:W,MATCH(W172,$S:$S,0)+6)+INDEX(W:W,MATCH(W172,$S:$S,0)+7))</f>
        <v>137</v>
      </c>
      <c r="X175" s="368"/>
      <c r="Y175" s="367">
        <f>ABS(INDEX(Y:Y,MATCH(Y172,$S:$S,0)+5)+INDEX(Y:Y,MATCH(Y172,$S:$S,0)+6)+INDEX(Y:Y,MATCH(Y172,$S:$S,0)+7))</f>
        <v>171</v>
      </c>
      <c r="Z175" s="368"/>
      <c r="AA175" s="367">
        <f>ABS(INDEX(AA:AA,MATCH(AA172,$S:$S,0)+5)+INDEX(AA:AA,MATCH(AA172,$S:$S,0)+6)+INDEX(AA:AA,MATCH(AA172,$S:$S,0)+7))</f>
        <v>149</v>
      </c>
      <c r="AB175" s="368"/>
      <c r="AC175" s="367">
        <f>ABS(INDEX(AC:AC,MATCH(AC172,$S:$S,0)+5)+INDEX(AC:AC,MATCH(AC172,$S:$S,0)+6)+INDEX(AC:AC,MATCH(AC172,$S:$S,0)+7))</f>
        <v>144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55"/>
        <v>Spieler 2</v>
      </c>
      <c r="C176" s="372" t="str">
        <f t="shared" si="155"/>
        <v/>
      </c>
      <c r="D176" s="344">
        <f>IF(U176=301,"",U176)</f>
        <v>202</v>
      </c>
      <c r="E176" s="344" t="str">
        <f>IF(V176=0,"",V176)</f>
        <v/>
      </c>
      <c r="F176" s="344">
        <f>IF(W176=301,"",W176)</f>
        <v>177</v>
      </c>
      <c r="G176" s="344" t="str">
        <f>IF(X176=0,"",X176)</f>
        <v/>
      </c>
      <c r="H176" s="344">
        <f>IF(Y176=301,"",Y176)</f>
        <v>136</v>
      </c>
      <c r="I176" s="344" t="str">
        <f>IF(Z176=0,"",Z176)</f>
        <v/>
      </c>
      <c r="J176" s="344">
        <f>IF(AA176=301,"",AA176)</f>
        <v>151</v>
      </c>
      <c r="K176" s="344" t="str">
        <f>IF(AB176=0,"",AB176)</f>
        <v/>
      </c>
      <c r="L176" s="344">
        <f>IF(AC176=301,"",AC176)</f>
        <v>138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202</v>
      </c>
      <c r="V176" s="366"/>
      <c r="W176" s="365">
        <f>ABS(INDEX(W:W,MATCH(W172,$S:$S,0)+8)+INDEX(W:W,MATCH(W172,$S:$S,0)+9)+INDEX(W:W,MATCH(W172,$S:$S,0)+10))</f>
        <v>177</v>
      </c>
      <c r="X176" s="366"/>
      <c r="Y176" s="365">
        <f>ABS(INDEX(Y:Y,MATCH(Y172,$S:$S,0)+8)+INDEX(Y:Y,MATCH(Y172,$S:$S,0)+9)+INDEX(Y:Y,MATCH(Y172,$S:$S,0)+10))</f>
        <v>136</v>
      </c>
      <c r="Z176" s="366"/>
      <c r="AA176" s="365">
        <f>ABS(INDEX(AA:AA,MATCH(AA172,$S:$S,0)+8)+INDEX(AA:AA,MATCH(AA172,$S:$S,0)+9)+INDEX(AA:AA,MATCH(AA172,$S:$S,0)+10))</f>
        <v>151</v>
      </c>
      <c r="AB176" s="366"/>
      <c r="AC176" s="365">
        <f>ABS(INDEX(AC:AC,MATCH(AC172,$S:$S,0)+8)+INDEX(AC:AC,MATCH(AC172,$S:$S,0)+9)+INDEX(AC:AC,MATCH(AC172,$S:$S,0)+10))</f>
        <v>138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55"/>
        <v>Spieler 3</v>
      </c>
      <c r="C177" s="372" t="str">
        <f t="shared" si="155"/>
        <v/>
      </c>
      <c r="D177" s="344">
        <f>IF(U177=301,"",U177)</f>
        <v>191</v>
      </c>
      <c r="E177" s="344" t="str">
        <f>IF(V177=0,"",V177)</f>
        <v/>
      </c>
      <c r="F177" s="344">
        <f>IF(W177=301,"",W177)</f>
        <v>194</v>
      </c>
      <c r="G177" s="344" t="str">
        <f>IF(X177=0,"",X177)</f>
        <v/>
      </c>
      <c r="H177" s="344">
        <f>IF(Y177=301,"",Y177)</f>
        <v>193</v>
      </c>
      <c r="I177" s="344" t="str">
        <f>IF(Z177=0,"",Z177)</f>
        <v/>
      </c>
      <c r="J177" s="344">
        <f>IF(AA177=301,"",AA177)</f>
        <v>136</v>
      </c>
      <c r="K177" s="344" t="str">
        <f>IF(AB177=0,"",AB177)</f>
        <v/>
      </c>
      <c r="L177" s="344">
        <f>IF(AC177=301,"",AC177)</f>
        <v>172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191</v>
      </c>
      <c r="V177" s="366"/>
      <c r="W177" s="365">
        <f>ABS(INDEX(W:W,MATCH(W172,$S:$S,0)+11)+INDEX(W:W,MATCH(W172,$S:$S,0)+12)+INDEX(W:W,MATCH(W172,$S:$S,0)+13))</f>
        <v>194</v>
      </c>
      <c r="X177" s="366"/>
      <c r="Y177" s="365">
        <f>ABS(INDEX(Y:Y,MATCH(Y172,$S:$S,0)+11)+INDEX(Y:Y,MATCH(Y172,$S:$S,0)+12)+INDEX(Y:Y,MATCH(Y172,$S:$S,0)+13))</f>
        <v>193</v>
      </c>
      <c r="Z177" s="366"/>
      <c r="AA177" s="365">
        <f>ABS(INDEX(AA:AA,MATCH(AA172,$S:$S,0)+11)+INDEX(AA:AA,MATCH(AA172,$S:$S,0)+12)+INDEX(AA:AA,MATCH(AA172,$S:$S,0)+13))</f>
        <v>136</v>
      </c>
      <c r="AB177" s="366"/>
      <c r="AC177" s="365">
        <f>ABS(INDEX(AC:AC,MATCH(AC172,$S:$S,0)+11)+INDEX(AC:AC,MATCH(AC172,$S:$S,0)+12)+INDEX(AC:AC,MATCH(AC172,$S:$S,0)+13))</f>
        <v>172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55"/>
        <v>Spieler 4</v>
      </c>
      <c r="C178" s="372" t="str">
        <f t="shared" si="155"/>
        <v/>
      </c>
      <c r="D178" s="344">
        <f>IF(U178=301,"",U178)</f>
        <v>168</v>
      </c>
      <c r="E178" s="344" t="str">
        <f>IF(V178=0,"",V178)</f>
        <v/>
      </c>
      <c r="F178" s="344">
        <f>IF(W178=301,"",W178)</f>
        <v>174</v>
      </c>
      <c r="G178" s="344" t="str">
        <f>IF(X178=0,"",X178)</f>
        <v/>
      </c>
      <c r="H178" s="344">
        <f>IF(Y178=301,"",Y178)</f>
        <v>223</v>
      </c>
      <c r="I178" s="344" t="str">
        <f>IF(Z178=0,"",Z178)</f>
        <v/>
      </c>
      <c r="J178" s="344">
        <f>IF(AA178=301,"",AA178)</f>
        <v>137</v>
      </c>
      <c r="K178" s="344" t="str">
        <f>IF(AB178=0,"",AB178)</f>
        <v/>
      </c>
      <c r="L178" s="344">
        <f>IF(AC178=301,"",AC178)</f>
        <v>161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168</v>
      </c>
      <c r="V178" s="366"/>
      <c r="W178" s="365">
        <f>ABS(INDEX(W:W,MATCH(W172,$S:$S,0)+14)+INDEX(W:W,MATCH(W172,$S:$S,0)+15)+INDEX(W:W,MATCH(W172,$S:$S,0)+16))</f>
        <v>174</v>
      </c>
      <c r="X178" s="366"/>
      <c r="Y178" s="365">
        <f>ABS(INDEX(Y:Y,MATCH(Y172,$S:$S,0)+14)+INDEX(Y:Y,MATCH(Y172,$S:$S,0)+15)+INDEX(Y:Y,MATCH(Y172,$S:$S,0)+16))</f>
        <v>223</v>
      </c>
      <c r="Z178" s="366"/>
      <c r="AA178" s="365">
        <f>ABS(INDEX(AA:AA,MATCH(AA172,$S:$S,0)+14)+INDEX(AA:AA,MATCH(AA172,$S:$S,0)+15)+INDEX(AA:AA,MATCH(AA172,$S:$S,0)+16))</f>
        <v>137</v>
      </c>
      <c r="AB178" s="366"/>
      <c r="AC178" s="365">
        <f>ABS(INDEX(AC:AC,MATCH(AC172,$S:$S,0)+14)+INDEX(AC:AC,MATCH(AC172,$S:$S,0)+15)+INDEX(AC:AC,MATCH(AC172,$S:$S,0)+16))</f>
        <v>161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55"/>
        <v>Gesamt</v>
      </c>
      <c r="C179" s="360" t="str">
        <f t="shared" si="155"/>
        <v/>
      </c>
      <c r="D179" s="343">
        <f>IF(U179=1505,"",U179)</f>
        <v>755</v>
      </c>
      <c r="E179" s="343" t="str">
        <f>IF(V179=0,"",V179)</f>
        <v/>
      </c>
      <c r="F179" s="343">
        <f>IF(W179=1505,"",W179)</f>
        <v>682</v>
      </c>
      <c r="G179" s="343" t="str">
        <f>IF(X179=0,"",X179)</f>
        <v/>
      </c>
      <c r="H179" s="343">
        <f>IF(Y179=1505,"",Y179)</f>
        <v>723</v>
      </c>
      <c r="I179" s="343" t="str">
        <f>IF(Z179=0,"",Z179)</f>
        <v/>
      </c>
      <c r="J179" s="343">
        <f>IF(AA179=1505,"",AA179)</f>
        <v>573</v>
      </c>
      <c r="K179" s="343" t="str">
        <f>IF(AB179=0,"",AB179)</f>
        <v/>
      </c>
      <c r="L179" s="343">
        <f>IF(AC179=1505,"",AC179)</f>
        <v>615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755</v>
      </c>
      <c r="V179" s="360"/>
      <c r="W179" s="359">
        <f>SUM(W175:W178)</f>
        <v>682</v>
      </c>
      <c r="X179" s="360"/>
      <c r="Y179" s="359">
        <f>SUM(Y175:Y178)</f>
        <v>723</v>
      </c>
      <c r="Z179" s="360"/>
      <c r="AA179" s="359">
        <f>SUM(AA175:AA178)</f>
        <v>573</v>
      </c>
      <c r="AB179" s="360"/>
      <c r="AC179" s="359">
        <f>SUM(AC175:AC178)</f>
        <v>615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/>
  <mergeCells count="810">
    <mergeCell ref="N179:O179"/>
    <mergeCell ref="B179:C179"/>
    <mergeCell ref="D179:E179"/>
    <mergeCell ref="F179:G179"/>
    <mergeCell ref="H179:I179"/>
    <mergeCell ref="J179:K179"/>
    <mergeCell ref="L179:M179"/>
    <mergeCell ref="B178:C178"/>
    <mergeCell ref="D178:E178"/>
    <mergeCell ref="F178:G178"/>
    <mergeCell ref="H178:I178"/>
    <mergeCell ref="J178:K178"/>
    <mergeCell ref="L178:M178"/>
    <mergeCell ref="N178:O178"/>
    <mergeCell ref="B177:C177"/>
    <mergeCell ref="D177:E177"/>
    <mergeCell ref="F177:G177"/>
    <mergeCell ref="H177:I177"/>
    <mergeCell ref="J177:K177"/>
    <mergeCell ref="L177:M177"/>
    <mergeCell ref="N175:O175"/>
    <mergeCell ref="B176:C176"/>
    <mergeCell ref="D176:E176"/>
    <mergeCell ref="F176:G176"/>
    <mergeCell ref="H176:I176"/>
    <mergeCell ref="J176:K176"/>
    <mergeCell ref="N177:O177"/>
    <mergeCell ref="D174:E174"/>
    <mergeCell ref="F174:G174"/>
    <mergeCell ref="H174:I174"/>
    <mergeCell ref="J174:K174"/>
    <mergeCell ref="L174:M174"/>
    <mergeCell ref="N174:O174"/>
    <mergeCell ref="L176:M176"/>
    <mergeCell ref="N176:O176"/>
    <mergeCell ref="B175:C175"/>
    <mergeCell ref="D175:E175"/>
    <mergeCell ref="F175:G175"/>
    <mergeCell ref="H175:I175"/>
    <mergeCell ref="J175:K175"/>
    <mergeCell ref="L175:M175"/>
    <mergeCell ref="U173:V173"/>
    <mergeCell ref="W173:X173"/>
    <mergeCell ref="Y173:Z173"/>
    <mergeCell ref="AA173:AB173"/>
    <mergeCell ref="AC173:AD173"/>
    <mergeCell ref="D173:E173"/>
    <mergeCell ref="F173:G173"/>
    <mergeCell ref="H173:I173"/>
    <mergeCell ref="J173:K173"/>
    <mergeCell ref="L173:M173"/>
    <mergeCell ref="A166:A168"/>
    <mergeCell ref="E166:E168"/>
    <mergeCell ref="G166:G168"/>
    <mergeCell ref="I166:I168"/>
    <mergeCell ref="K166:K168"/>
    <mergeCell ref="M166:M168"/>
    <mergeCell ref="N173:O173"/>
    <mergeCell ref="O166:O168"/>
    <mergeCell ref="R166:R168"/>
    <mergeCell ref="D172:E172"/>
    <mergeCell ref="F172:G172"/>
    <mergeCell ref="H172:I172"/>
    <mergeCell ref="J172:K172"/>
    <mergeCell ref="L172:M172"/>
    <mergeCell ref="N172:O172"/>
    <mergeCell ref="A160:A162"/>
    <mergeCell ref="E160:E162"/>
    <mergeCell ref="G160:G162"/>
    <mergeCell ref="I160:I162"/>
    <mergeCell ref="K160:K162"/>
    <mergeCell ref="M160:M162"/>
    <mergeCell ref="O160:O162"/>
    <mergeCell ref="R160:R162"/>
    <mergeCell ref="A163:A165"/>
    <mergeCell ref="E163:E165"/>
    <mergeCell ref="G163:G165"/>
    <mergeCell ref="I163:I165"/>
    <mergeCell ref="K163:K165"/>
    <mergeCell ref="M163:M165"/>
    <mergeCell ref="O163:O165"/>
    <mergeCell ref="R163:R165"/>
    <mergeCell ref="P151:R151"/>
    <mergeCell ref="D155:E155"/>
    <mergeCell ref="F155:G155"/>
    <mergeCell ref="H155:I155"/>
    <mergeCell ref="J155:K155"/>
    <mergeCell ref="L155:M155"/>
    <mergeCell ref="N155:O155"/>
    <mergeCell ref="A157:A159"/>
    <mergeCell ref="E157:E159"/>
    <mergeCell ref="G157:G159"/>
    <mergeCell ref="I157:I159"/>
    <mergeCell ref="K157:K159"/>
    <mergeCell ref="M157:M159"/>
    <mergeCell ref="O157:O159"/>
    <mergeCell ref="R157:R159"/>
    <mergeCell ref="B147:C147"/>
    <mergeCell ref="D147:E147"/>
    <mergeCell ref="F147:G147"/>
    <mergeCell ref="H147:I147"/>
    <mergeCell ref="J147:K147"/>
    <mergeCell ref="L147:M147"/>
    <mergeCell ref="J149:K149"/>
    <mergeCell ref="L149:M149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N149:O149"/>
    <mergeCell ref="B149:C149"/>
    <mergeCell ref="D149:E149"/>
    <mergeCell ref="F149:G149"/>
    <mergeCell ref="H149:I149"/>
    <mergeCell ref="B146:C146"/>
    <mergeCell ref="D146:E146"/>
    <mergeCell ref="F146:G146"/>
    <mergeCell ref="H146:I146"/>
    <mergeCell ref="J146:K146"/>
    <mergeCell ref="L146:M146"/>
    <mergeCell ref="N146:O146"/>
    <mergeCell ref="B145:C145"/>
    <mergeCell ref="D145:E145"/>
    <mergeCell ref="Y143:Z143"/>
    <mergeCell ref="AA143:AB143"/>
    <mergeCell ref="AC143:AD143"/>
    <mergeCell ref="F145:G145"/>
    <mergeCell ref="H145:I145"/>
    <mergeCell ref="J145:K145"/>
    <mergeCell ref="L145:M145"/>
    <mergeCell ref="D144:E144"/>
    <mergeCell ref="F144:G144"/>
    <mergeCell ref="H144:I144"/>
    <mergeCell ref="J144:K144"/>
    <mergeCell ref="L144:M144"/>
    <mergeCell ref="N145:O145"/>
    <mergeCell ref="D143:E143"/>
    <mergeCell ref="F143:G143"/>
    <mergeCell ref="H143:I143"/>
    <mergeCell ref="J143:K143"/>
    <mergeCell ref="L143:M143"/>
    <mergeCell ref="N143:O143"/>
    <mergeCell ref="N144:O144"/>
    <mergeCell ref="U143:V143"/>
    <mergeCell ref="W143:X143"/>
    <mergeCell ref="U145:V145"/>
    <mergeCell ref="W145:X145"/>
    <mergeCell ref="A136:A138"/>
    <mergeCell ref="E136:E138"/>
    <mergeCell ref="G136:G138"/>
    <mergeCell ref="I136:I138"/>
    <mergeCell ref="K136:K138"/>
    <mergeCell ref="M136:M138"/>
    <mergeCell ref="O136:O138"/>
    <mergeCell ref="R136:R138"/>
    <mergeCell ref="D142:E142"/>
    <mergeCell ref="F142:G142"/>
    <mergeCell ref="H142:I142"/>
    <mergeCell ref="J142:K142"/>
    <mergeCell ref="L142:M142"/>
    <mergeCell ref="N142:O142"/>
    <mergeCell ref="A130:A132"/>
    <mergeCell ref="E130:E132"/>
    <mergeCell ref="G130:G132"/>
    <mergeCell ref="I130:I132"/>
    <mergeCell ref="K130:K132"/>
    <mergeCell ref="M130:M132"/>
    <mergeCell ref="O130:O132"/>
    <mergeCell ref="R130:R132"/>
    <mergeCell ref="A133:A135"/>
    <mergeCell ref="E133:E135"/>
    <mergeCell ref="G133:G135"/>
    <mergeCell ref="I133:I135"/>
    <mergeCell ref="K133:K135"/>
    <mergeCell ref="M133:M135"/>
    <mergeCell ref="O133:O135"/>
    <mergeCell ref="R133:R135"/>
    <mergeCell ref="P121:R121"/>
    <mergeCell ref="D125:E125"/>
    <mergeCell ref="F125:G125"/>
    <mergeCell ref="H125:I125"/>
    <mergeCell ref="J125:K125"/>
    <mergeCell ref="L125:M125"/>
    <mergeCell ref="N125:O125"/>
    <mergeCell ref="A127:A129"/>
    <mergeCell ref="E127:E129"/>
    <mergeCell ref="G127:G129"/>
    <mergeCell ref="I127:I129"/>
    <mergeCell ref="K127:K129"/>
    <mergeCell ref="M127:M129"/>
    <mergeCell ref="O127:O129"/>
    <mergeCell ref="R127:R129"/>
    <mergeCell ref="B117:C117"/>
    <mergeCell ref="D117:E117"/>
    <mergeCell ref="F117:G117"/>
    <mergeCell ref="H117:I117"/>
    <mergeCell ref="J117:K117"/>
    <mergeCell ref="L117:M117"/>
    <mergeCell ref="J119:K119"/>
    <mergeCell ref="L119:M119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N119:O119"/>
    <mergeCell ref="B119:C119"/>
    <mergeCell ref="D119:E119"/>
    <mergeCell ref="F119:G119"/>
    <mergeCell ref="H119:I119"/>
    <mergeCell ref="B116:C116"/>
    <mergeCell ref="D116:E116"/>
    <mergeCell ref="F116:G116"/>
    <mergeCell ref="H116:I116"/>
    <mergeCell ref="J116:K116"/>
    <mergeCell ref="L116:M116"/>
    <mergeCell ref="N116:O116"/>
    <mergeCell ref="B115:C115"/>
    <mergeCell ref="D115:E115"/>
    <mergeCell ref="Y113:Z113"/>
    <mergeCell ref="AA113:AB113"/>
    <mergeCell ref="AC113:AD113"/>
    <mergeCell ref="F115:G115"/>
    <mergeCell ref="H115:I115"/>
    <mergeCell ref="J115:K115"/>
    <mergeCell ref="L115:M115"/>
    <mergeCell ref="D114:E114"/>
    <mergeCell ref="F114:G114"/>
    <mergeCell ref="H114:I114"/>
    <mergeCell ref="J114:K114"/>
    <mergeCell ref="L114:M114"/>
    <mergeCell ref="N115:O115"/>
    <mergeCell ref="D113:E113"/>
    <mergeCell ref="F113:G113"/>
    <mergeCell ref="H113:I113"/>
    <mergeCell ref="J113:K113"/>
    <mergeCell ref="L113:M113"/>
    <mergeCell ref="N113:O113"/>
    <mergeCell ref="N114:O114"/>
    <mergeCell ref="U113:V113"/>
    <mergeCell ref="W113:X113"/>
    <mergeCell ref="U115:V115"/>
    <mergeCell ref="W115:X115"/>
    <mergeCell ref="A106:A108"/>
    <mergeCell ref="E106:E108"/>
    <mergeCell ref="G106:G108"/>
    <mergeCell ref="I106:I108"/>
    <mergeCell ref="K106:K108"/>
    <mergeCell ref="M106:M108"/>
    <mergeCell ref="O106:O108"/>
    <mergeCell ref="R106:R108"/>
    <mergeCell ref="D112:E112"/>
    <mergeCell ref="F112:G112"/>
    <mergeCell ref="H112:I112"/>
    <mergeCell ref="J112:K112"/>
    <mergeCell ref="L112:M112"/>
    <mergeCell ref="N112:O112"/>
    <mergeCell ref="A100:A102"/>
    <mergeCell ref="E100:E102"/>
    <mergeCell ref="G100:G102"/>
    <mergeCell ref="I100:I102"/>
    <mergeCell ref="K100:K102"/>
    <mergeCell ref="M100:M102"/>
    <mergeCell ref="O100:O102"/>
    <mergeCell ref="R100:R102"/>
    <mergeCell ref="A103:A105"/>
    <mergeCell ref="E103:E105"/>
    <mergeCell ref="G103:G105"/>
    <mergeCell ref="I103:I105"/>
    <mergeCell ref="K103:K105"/>
    <mergeCell ref="M103:M105"/>
    <mergeCell ref="O103:O105"/>
    <mergeCell ref="R103:R105"/>
    <mergeCell ref="D95:E95"/>
    <mergeCell ref="F95:G95"/>
    <mergeCell ref="H95:I95"/>
    <mergeCell ref="J95:K95"/>
    <mergeCell ref="L95:M95"/>
    <mergeCell ref="N95:O95"/>
    <mergeCell ref="U89:V89"/>
    <mergeCell ref="A97:A99"/>
    <mergeCell ref="E97:E99"/>
    <mergeCell ref="G97:G99"/>
    <mergeCell ref="I97:I99"/>
    <mergeCell ref="K97:K99"/>
    <mergeCell ref="M97:M99"/>
    <mergeCell ref="O97:O99"/>
    <mergeCell ref="R97:R99"/>
    <mergeCell ref="B89:C89"/>
    <mergeCell ref="D89:E89"/>
    <mergeCell ref="F89:G89"/>
    <mergeCell ref="H89:I89"/>
    <mergeCell ref="J89:K89"/>
    <mergeCell ref="L89:M89"/>
    <mergeCell ref="N89:O89"/>
    <mergeCell ref="P91:R91"/>
    <mergeCell ref="U87:V87"/>
    <mergeCell ref="W87:X87"/>
    <mergeCell ref="Y87:Z87"/>
    <mergeCell ref="AA87:AB87"/>
    <mergeCell ref="AC87:AD87"/>
    <mergeCell ref="U88:V88"/>
    <mergeCell ref="W88:X88"/>
    <mergeCell ref="Y88:Z88"/>
    <mergeCell ref="AA88:AB88"/>
    <mergeCell ref="AC88:AD88"/>
    <mergeCell ref="B88:C88"/>
    <mergeCell ref="D88:E88"/>
    <mergeCell ref="F88:G88"/>
    <mergeCell ref="H88:I88"/>
    <mergeCell ref="J88:K88"/>
    <mergeCell ref="L88:M88"/>
    <mergeCell ref="N88:O88"/>
    <mergeCell ref="B87:C87"/>
    <mergeCell ref="D87:E87"/>
    <mergeCell ref="F87:G87"/>
    <mergeCell ref="H87:I87"/>
    <mergeCell ref="J87:K87"/>
    <mergeCell ref="L87:M87"/>
    <mergeCell ref="N85:O85"/>
    <mergeCell ref="B86:C86"/>
    <mergeCell ref="D86:E86"/>
    <mergeCell ref="F86:G86"/>
    <mergeCell ref="H86:I86"/>
    <mergeCell ref="J86:K86"/>
    <mergeCell ref="N87:O87"/>
    <mergeCell ref="D84:E84"/>
    <mergeCell ref="F84:G84"/>
    <mergeCell ref="H84:I84"/>
    <mergeCell ref="J84:K84"/>
    <mergeCell ref="L84:M84"/>
    <mergeCell ref="N84:O84"/>
    <mergeCell ref="L86:M86"/>
    <mergeCell ref="N86:O86"/>
    <mergeCell ref="B85:C85"/>
    <mergeCell ref="D85:E85"/>
    <mergeCell ref="F85:G85"/>
    <mergeCell ref="H85:I85"/>
    <mergeCell ref="J85:K85"/>
    <mergeCell ref="L85:M85"/>
    <mergeCell ref="U83:V83"/>
    <mergeCell ref="W83:X83"/>
    <mergeCell ref="Y83:Z83"/>
    <mergeCell ref="AA83:AB83"/>
    <mergeCell ref="AC83:AD83"/>
    <mergeCell ref="D83:E83"/>
    <mergeCell ref="F83:G83"/>
    <mergeCell ref="H83:I83"/>
    <mergeCell ref="J83:K83"/>
    <mergeCell ref="L83:M83"/>
    <mergeCell ref="A76:A78"/>
    <mergeCell ref="E76:E78"/>
    <mergeCell ref="G76:G78"/>
    <mergeCell ref="I76:I78"/>
    <mergeCell ref="K76:K78"/>
    <mergeCell ref="M76:M78"/>
    <mergeCell ref="O76:O78"/>
    <mergeCell ref="R76:R78"/>
    <mergeCell ref="N83:O83"/>
    <mergeCell ref="D82:E82"/>
    <mergeCell ref="F82:G82"/>
    <mergeCell ref="H82:I82"/>
    <mergeCell ref="J82:K82"/>
    <mergeCell ref="L82:M82"/>
    <mergeCell ref="N82:O82"/>
    <mergeCell ref="A70:A72"/>
    <mergeCell ref="E70:E72"/>
    <mergeCell ref="G70:G72"/>
    <mergeCell ref="I70:I72"/>
    <mergeCell ref="K70:K72"/>
    <mergeCell ref="M70:M72"/>
    <mergeCell ref="O70:O72"/>
    <mergeCell ref="R70:R72"/>
    <mergeCell ref="A73:A75"/>
    <mergeCell ref="E73:E75"/>
    <mergeCell ref="G73:G75"/>
    <mergeCell ref="I73:I75"/>
    <mergeCell ref="K73:K75"/>
    <mergeCell ref="M73:M75"/>
    <mergeCell ref="O73:O75"/>
    <mergeCell ref="R73:R75"/>
    <mergeCell ref="D65:E65"/>
    <mergeCell ref="F65:G65"/>
    <mergeCell ref="H65:I65"/>
    <mergeCell ref="J65:K65"/>
    <mergeCell ref="L65:M65"/>
    <mergeCell ref="N65:O65"/>
    <mergeCell ref="U59:V59"/>
    <mergeCell ref="A67:A69"/>
    <mergeCell ref="E67:E69"/>
    <mergeCell ref="G67:G69"/>
    <mergeCell ref="I67:I69"/>
    <mergeCell ref="K67:K69"/>
    <mergeCell ref="M67:M69"/>
    <mergeCell ref="O67:O69"/>
    <mergeCell ref="R67:R69"/>
    <mergeCell ref="B59:C59"/>
    <mergeCell ref="D59:E59"/>
    <mergeCell ref="F59:G59"/>
    <mergeCell ref="H59:I59"/>
    <mergeCell ref="J59:K59"/>
    <mergeCell ref="L59:M59"/>
    <mergeCell ref="N59:O59"/>
    <mergeCell ref="P61:R61"/>
    <mergeCell ref="U57:V57"/>
    <mergeCell ref="W57:X57"/>
    <mergeCell ref="Y57:Z57"/>
    <mergeCell ref="AA57:AB57"/>
    <mergeCell ref="AC57:AD57"/>
    <mergeCell ref="U58:V58"/>
    <mergeCell ref="W58:X58"/>
    <mergeCell ref="Y58:Z58"/>
    <mergeCell ref="AA58:AB58"/>
    <mergeCell ref="AC58:AD58"/>
    <mergeCell ref="B58:C58"/>
    <mergeCell ref="D58:E58"/>
    <mergeCell ref="F58:G58"/>
    <mergeCell ref="H58:I58"/>
    <mergeCell ref="J58:K58"/>
    <mergeCell ref="L58:M58"/>
    <mergeCell ref="N58:O58"/>
    <mergeCell ref="B57:C57"/>
    <mergeCell ref="D57:E57"/>
    <mergeCell ref="L56:M56"/>
    <mergeCell ref="N56:O56"/>
    <mergeCell ref="B55:C55"/>
    <mergeCell ref="D55:E55"/>
    <mergeCell ref="F55:G55"/>
    <mergeCell ref="H55:I55"/>
    <mergeCell ref="J55:K55"/>
    <mergeCell ref="L55:M55"/>
    <mergeCell ref="F57:G57"/>
    <mergeCell ref="H57:I57"/>
    <mergeCell ref="J57:K57"/>
    <mergeCell ref="L57:M57"/>
    <mergeCell ref="N55:O55"/>
    <mergeCell ref="B56:C56"/>
    <mergeCell ref="D56:E56"/>
    <mergeCell ref="F56:G56"/>
    <mergeCell ref="H56:I56"/>
    <mergeCell ref="J56:K56"/>
    <mergeCell ref="N57:O57"/>
    <mergeCell ref="Y53:Z53"/>
    <mergeCell ref="AA53:AB53"/>
    <mergeCell ref="AC53:AD53"/>
    <mergeCell ref="D53:E53"/>
    <mergeCell ref="F53:G53"/>
    <mergeCell ref="H53:I53"/>
    <mergeCell ref="J53:K53"/>
    <mergeCell ref="L53:M53"/>
    <mergeCell ref="D54:E54"/>
    <mergeCell ref="F54:G54"/>
    <mergeCell ref="H54:I54"/>
    <mergeCell ref="J54:K54"/>
    <mergeCell ref="L54:M54"/>
    <mergeCell ref="N54:O54"/>
    <mergeCell ref="A46:A48"/>
    <mergeCell ref="E46:E48"/>
    <mergeCell ref="G46:G48"/>
    <mergeCell ref="I46:I48"/>
    <mergeCell ref="K46:K48"/>
    <mergeCell ref="M46:M48"/>
    <mergeCell ref="O46:O48"/>
    <mergeCell ref="R46:R48"/>
    <mergeCell ref="N53:O53"/>
    <mergeCell ref="D52:E52"/>
    <mergeCell ref="F52:G52"/>
    <mergeCell ref="H52:I52"/>
    <mergeCell ref="J52:K52"/>
    <mergeCell ref="L52:M52"/>
    <mergeCell ref="N52:O52"/>
    <mergeCell ref="A40:A42"/>
    <mergeCell ref="E40:E42"/>
    <mergeCell ref="G40:G42"/>
    <mergeCell ref="I40:I42"/>
    <mergeCell ref="K40:K42"/>
    <mergeCell ref="M40:M42"/>
    <mergeCell ref="O40:O42"/>
    <mergeCell ref="R40:R42"/>
    <mergeCell ref="A43:A45"/>
    <mergeCell ref="E43:E45"/>
    <mergeCell ref="G43:G45"/>
    <mergeCell ref="I43:I45"/>
    <mergeCell ref="K43:K45"/>
    <mergeCell ref="M43:M45"/>
    <mergeCell ref="O43:O45"/>
    <mergeCell ref="R43:R45"/>
    <mergeCell ref="D35:E35"/>
    <mergeCell ref="F35:G35"/>
    <mergeCell ref="H35:I35"/>
    <mergeCell ref="J35:K35"/>
    <mergeCell ref="L35:M35"/>
    <mergeCell ref="N35:O35"/>
    <mergeCell ref="U35:V35"/>
    <mergeCell ref="A37:A39"/>
    <mergeCell ref="E37:E39"/>
    <mergeCell ref="G37:G39"/>
    <mergeCell ref="I37:I39"/>
    <mergeCell ref="K37:K39"/>
    <mergeCell ref="M37:M39"/>
    <mergeCell ref="O37:O39"/>
    <mergeCell ref="R37:R39"/>
    <mergeCell ref="B29:C29"/>
    <mergeCell ref="D29:E29"/>
    <mergeCell ref="F29:G29"/>
    <mergeCell ref="H29:I29"/>
    <mergeCell ref="J29:K29"/>
    <mergeCell ref="L29:M29"/>
    <mergeCell ref="N29:O29"/>
    <mergeCell ref="P31:R31"/>
    <mergeCell ref="AD31:AF31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J27:K27"/>
    <mergeCell ref="L27:M27"/>
    <mergeCell ref="N25:O25"/>
    <mergeCell ref="B26:C26"/>
    <mergeCell ref="D26:E26"/>
    <mergeCell ref="F26:G26"/>
    <mergeCell ref="H26:I26"/>
    <mergeCell ref="J26:K26"/>
    <mergeCell ref="N27:O27"/>
    <mergeCell ref="D24:E24"/>
    <mergeCell ref="F24:G24"/>
    <mergeCell ref="H24:I24"/>
    <mergeCell ref="J24:K24"/>
    <mergeCell ref="L24:M24"/>
    <mergeCell ref="N24:O24"/>
    <mergeCell ref="L26:M26"/>
    <mergeCell ref="N26:O26"/>
    <mergeCell ref="B25:C25"/>
    <mergeCell ref="D25:E25"/>
    <mergeCell ref="F25:G25"/>
    <mergeCell ref="H25:I25"/>
    <mergeCell ref="J25:K25"/>
    <mergeCell ref="L25:M25"/>
    <mergeCell ref="A16:A18"/>
    <mergeCell ref="E16:E18"/>
    <mergeCell ref="G16:G18"/>
    <mergeCell ref="I16:I18"/>
    <mergeCell ref="K16:K18"/>
    <mergeCell ref="M16:M18"/>
    <mergeCell ref="O16:O18"/>
    <mergeCell ref="R16:R18"/>
    <mergeCell ref="N23:O23"/>
    <mergeCell ref="D22:E22"/>
    <mergeCell ref="F22:G22"/>
    <mergeCell ref="H22:I22"/>
    <mergeCell ref="J22:K22"/>
    <mergeCell ref="L22:M22"/>
    <mergeCell ref="N22:O22"/>
    <mergeCell ref="D23:E23"/>
    <mergeCell ref="F23:G23"/>
    <mergeCell ref="H23:I23"/>
    <mergeCell ref="J23:K23"/>
    <mergeCell ref="L23:M23"/>
    <mergeCell ref="A10:A12"/>
    <mergeCell ref="E10:E12"/>
    <mergeCell ref="G10:G12"/>
    <mergeCell ref="I10:I12"/>
    <mergeCell ref="K10:K12"/>
    <mergeCell ref="M10:M12"/>
    <mergeCell ref="O10:O12"/>
    <mergeCell ref="R10:R12"/>
    <mergeCell ref="A13:A15"/>
    <mergeCell ref="E13:E15"/>
    <mergeCell ref="G13:G15"/>
    <mergeCell ref="I13:I15"/>
    <mergeCell ref="K13:K15"/>
    <mergeCell ref="M13:M15"/>
    <mergeCell ref="O13:O15"/>
    <mergeCell ref="R13:R15"/>
    <mergeCell ref="D5:E5"/>
    <mergeCell ref="F5:G5"/>
    <mergeCell ref="H5:I5"/>
    <mergeCell ref="J5:K5"/>
    <mergeCell ref="L5:M5"/>
    <mergeCell ref="N5:O5"/>
    <mergeCell ref="A7:A9"/>
    <mergeCell ref="E7:E9"/>
    <mergeCell ref="G7:G9"/>
    <mergeCell ref="I7:I9"/>
    <mergeCell ref="K7:K9"/>
    <mergeCell ref="M7:M9"/>
    <mergeCell ref="O7:O9"/>
    <mergeCell ref="U5:V5"/>
    <mergeCell ref="W5:X5"/>
    <mergeCell ref="Y5:Z5"/>
    <mergeCell ref="AA5:AB5"/>
    <mergeCell ref="AC5:AD5"/>
    <mergeCell ref="AE5:AF5"/>
    <mergeCell ref="AD121:AF121"/>
    <mergeCell ref="AD151:AF151"/>
    <mergeCell ref="M1:O1"/>
    <mergeCell ref="M31:O31"/>
    <mergeCell ref="M61:O61"/>
    <mergeCell ref="M91:O91"/>
    <mergeCell ref="M121:O121"/>
    <mergeCell ref="M151:O151"/>
    <mergeCell ref="P1:R1"/>
    <mergeCell ref="AD1:AF1"/>
    <mergeCell ref="R7:R9"/>
    <mergeCell ref="U23:V23"/>
    <mergeCell ref="W23:X23"/>
    <mergeCell ref="Y23:Z23"/>
    <mergeCell ref="AA23:AB23"/>
    <mergeCell ref="AC23:AD23"/>
    <mergeCell ref="U53:V53"/>
    <mergeCell ref="W53:X53"/>
    <mergeCell ref="U22:V22"/>
    <mergeCell ref="W22:X22"/>
    <mergeCell ref="Y22:Z22"/>
    <mergeCell ref="AA22:AB22"/>
    <mergeCell ref="AC22:AD22"/>
    <mergeCell ref="U25:V25"/>
    <mergeCell ref="W25:X25"/>
    <mergeCell ref="Y25:Z25"/>
    <mergeCell ref="AA25:AB25"/>
    <mergeCell ref="AC25:AD25"/>
    <mergeCell ref="U26:V26"/>
    <mergeCell ref="W26:X26"/>
    <mergeCell ref="Y26:Z26"/>
    <mergeCell ref="AA26:AB26"/>
    <mergeCell ref="AC26:AD26"/>
    <mergeCell ref="U27:V27"/>
    <mergeCell ref="W27:X27"/>
    <mergeCell ref="Y27:Z27"/>
    <mergeCell ref="AA27:AB27"/>
    <mergeCell ref="AC27:AD27"/>
    <mergeCell ref="U28:V28"/>
    <mergeCell ref="W28:X28"/>
    <mergeCell ref="Y28:Z28"/>
    <mergeCell ref="AA28:AB28"/>
    <mergeCell ref="AC28:AD28"/>
    <mergeCell ref="U29:V29"/>
    <mergeCell ref="W29:X29"/>
    <mergeCell ref="Y29:Z29"/>
    <mergeCell ref="AA29:AB29"/>
    <mergeCell ref="AC29:AD29"/>
    <mergeCell ref="W35:X35"/>
    <mergeCell ref="Y35:Z35"/>
    <mergeCell ref="AA35:AB35"/>
    <mergeCell ref="AC35:AD35"/>
    <mergeCell ref="AE35:AF35"/>
    <mergeCell ref="U52:V52"/>
    <mergeCell ref="W52:X52"/>
    <mergeCell ref="Y52:Z52"/>
    <mergeCell ref="AA52:AB52"/>
    <mergeCell ref="AC52:AD52"/>
    <mergeCell ref="U55:V55"/>
    <mergeCell ref="W55:X55"/>
    <mergeCell ref="Y55:Z55"/>
    <mergeCell ref="AA55:AB55"/>
    <mergeCell ref="AC55:AD55"/>
    <mergeCell ref="U56:V56"/>
    <mergeCell ref="W56:X56"/>
    <mergeCell ref="Y56:Z56"/>
    <mergeCell ref="AA56:AB56"/>
    <mergeCell ref="AC56:AD56"/>
    <mergeCell ref="AE65:AF65"/>
    <mergeCell ref="U82:V82"/>
    <mergeCell ref="W82:X82"/>
    <mergeCell ref="Y82:Z82"/>
    <mergeCell ref="AA82:AB82"/>
    <mergeCell ref="AC82:AD82"/>
    <mergeCell ref="W59:X59"/>
    <mergeCell ref="Y59:Z59"/>
    <mergeCell ref="AA59:AB59"/>
    <mergeCell ref="AC59:AD59"/>
    <mergeCell ref="U65:V65"/>
    <mergeCell ref="W65:X65"/>
    <mergeCell ref="Y65:Z65"/>
    <mergeCell ref="AA65:AB65"/>
    <mergeCell ref="AC65:AD65"/>
    <mergeCell ref="AD61:AF61"/>
    <mergeCell ref="U85:V85"/>
    <mergeCell ref="W85:X85"/>
    <mergeCell ref="Y85:Z85"/>
    <mergeCell ref="AA85:AB85"/>
    <mergeCell ref="AC85:AD85"/>
    <mergeCell ref="U86:V86"/>
    <mergeCell ref="W86:X86"/>
    <mergeCell ref="Y86:Z86"/>
    <mergeCell ref="AA86:AB86"/>
    <mergeCell ref="AC86:AD86"/>
    <mergeCell ref="AE95:AF95"/>
    <mergeCell ref="U112:V112"/>
    <mergeCell ref="W112:X112"/>
    <mergeCell ref="Y112:Z112"/>
    <mergeCell ref="AA112:AB112"/>
    <mergeCell ref="AC112:AD112"/>
    <mergeCell ref="W89:X89"/>
    <mergeCell ref="Y89:Z89"/>
    <mergeCell ref="AA89:AB89"/>
    <mergeCell ref="AC89:AD89"/>
    <mergeCell ref="U95:V95"/>
    <mergeCell ref="W95:X95"/>
    <mergeCell ref="Y95:Z95"/>
    <mergeCell ref="AA95:AB95"/>
    <mergeCell ref="AC95:AD95"/>
    <mergeCell ref="AD91:AF91"/>
    <mergeCell ref="Y115:Z115"/>
    <mergeCell ref="AA115:AB115"/>
    <mergeCell ref="AC115:AD115"/>
    <mergeCell ref="U116:V116"/>
    <mergeCell ref="W116:X116"/>
    <mergeCell ref="Y116:Z116"/>
    <mergeCell ref="AA116:AB116"/>
    <mergeCell ref="AC116:AD116"/>
    <mergeCell ref="U117:V117"/>
    <mergeCell ref="W117:X117"/>
    <mergeCell ref="Y117:Z117"/>
    <mergeCell ref="AA117:AB117"/>
    <mergeCell ref="AC117:AD117"/>
    <mergeCell ref="U118:V118"/>
    <mergeCell ref="W118:X118"/>
    <mergeCell ref="Y118:Z118"/>
    <mergeCell ref="AA118:AB118"/>
    <mergeCell ref="AC118:AD118"/>
    <mergeCell ref="AE125:AF125"/>
    <mergeCell ref="U142:V142"/>
    <mergeCell ref="W142:X142"/>
    <mergeCell ref="Y142:Z142"/>
    <mergeCell ref="AA142:AB142"/>
    <mergeCell ref="AC142:AD142"/>
    <mergeCell ref="U119:V119"/>
    <mergeCell ref="W119:X119"/>
    <mergeCell ref="Y119:Z119"/>
    <mergeCell ref="AA119:AB119"/>
    <mergeCell ref="AC119:AD119"/>
    <mergeCell ref="U125:V125"/>
    <mergeCell ref="W125:X125"/>
    <mergeCell ref="Y125:Z125"/>
    <mergeCell ref="AA125:AB125"/>
    <mergeCell ref="AC125:AD125"/>
    <mergeCell ref="Y145:Z145"/>
    <mergeCell ref="AA145:AB145"/>
    <mergeCell ref="AC145:AD145"/>
    <mergeCell ref="U146:V146"/>
    <mergeCell ref="W146:X146"/>
    <mergeCell ref="Y146:Z146"/>
    <mergeCell ref="AA146:AB146"/>
    <mergeCell ref="AC146:AD146"/>
    <mergeCell ref="U147:V147"/>
    <mergeCell ref="W147:X147"/>
    <mergeCell ref="Y147:Z147"/>
    <mergeCell ref="AA147:AB147"/>
    <mergeCell ref="AC147:AD147"/>
    <mergeCell ref="U148:V148"/>
    <mergeCell ref="W148:X148"/>
    <mergeCell ref="Y148:Z148"/>
    <mergeCell ref="AA148:AB148"/>
    <mergeCell ref="AC148:AD148"/>
    <mergeCell ref="AE155:AF155"/>
    <mergeCell ref="U172:V172"/>
    <mergeCell ref="W172:X172"/>
    <mergeCell ref="Y172:Z172"/>
    <mergeCell ref="AA172:AB172"/>
    <mergeCell ref="AC172:AD172"/>
    <mergeCell ref="U149:V149"/>
    <mergeCell ref="W149:X149"/>
    <mergeCell ref="Y149:Z149"/>
    <mergeCell ref="AA149:AB149"/>
    <mergeCell ref="AC149:AD149"/>
    <mergeCell ref="U155:V155"/>
    <mergeCell ref="W155:X155"/>
    <mergeCell ref="Y155:Z155"/>
    <mergeCell ref="AA155:AB155"/>
    <mergeCell ref="AC155:AD155"/>
    <mergeCell ref="U175:V175"/>
    <mergeCell ref="W175:X175"/>
    <mergeCell ref="Y175:Z175"/>
    <mergeCell ref="AA175:AB175"/>
    <mergeCell ref="AC175:AD175"/>
    <mergeCell ref="U176:V176"/>
    <mergeCell ref="W176:X176"/>
    <mergeCell ref="Y176:Z176"/>
    <mergeCell ref="AA176:AB176"/>
    <mergeCell ref="AC176:AD176"/>
    <mergeCell ref="U179:V179"/>
    <mergeCell ref="W179:X179"/>
    <mergeCell ref="Y179:Z179"/>
    <mergeCell ref="AA179:AB179"/>
    <mergeCell ref="AC179:AD179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</mergeCells>
  <dataValidations count="1">
    <dataValidation type="whole" allowBlank="1" showErrorMessage="1" error="Es sind nur Zahlen zwischen -300 und 300 erlaubt!" sqref="U157:AD168 U127:AD138 U37:AD48 U67:AD78 U97:AD108 U7:AD18" xr:uid="{22F7ADDD-87B4-464C-BC4E-68A76AAD2040}">
      <formula1>-300</formula1>
      <formula2>300</formula2>
    </dataValidation>
  </dataValidations>
  <pageMargins left="0.70866141732283472" right="0.70866141732283472" top="0.78740157480314965" bottom="0.51181102362204722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C6FB-6764-4C9E-A025-108FE7ED19EA}">
  <dimension ref="A1:E23"/>
  <sheetViews>
    <sheetView workbookViewId="0">
      <selection activeCell="C4" sqref="C4"/>
    </sheetView>
  </sheetViews>
  <sheetFormatPr baseColWidth="10" defaultRowHeight="12.75" x14ac:dyDescent="0.2"/>
  <cols>
    <col min="1" max="1" width="4.7109375" style="6" customWidth="1"/>
    <col min="2" max="2" width="15" style="6" customWidth="1"/>
    <col min="3" max="3" width="28.5703125" customWidth="1"/>
    <col min="5" max="5" width="11.42578125" customWidth="1"/>
  </cols>
  <sheetData>
    <row r="1" spans="1:5" x14ac:dyDescent="0.2">
      <c r="A1" s="6">
        <v>1</v>
      </c>
      <c r="B1" s="52" t="s">
        <v>2522</v>
      </c>
      <c r="C1" s="51" t="s">
        <v>1947</v>
      </c>
      <c r="E1" t="s">
        <v>1938</v>
      </c>
    </row>
    <row r="2" spans="1:5" x14ac:dyDescent="0.2">
      <c r="A2" s="6">
        <v>2</v>
      </c>
      <c r="B2" s="52" t="s">
        <v>2523</v>
      </c>
      <c r="C2" s="51" t="s">
        <v>1950</v>
      </c>
      <c r="E2" t="s">
        <v>1939</v>
      </c>
    </row>
    <row r="3" spans="1:5" x14ac:dyDescent="0.2">
      <c r="A3" s="6">
        <v>3</v>
      </c>
      <c r="B3" s="52" t="s">
        <v>2524</v>
      </c>
      <c r="C3" s="51" t="s">
        <v>1947</v>
      </c>
      <c r="E3" t="s">
        <v>1937</v>
      </c>
    </row>
    <row r="4" spans="1:5" x14ac:dyDescent="0.2">
      <c r="A4" s="6">
        <v>4</v>
      </c>
      <c r="B4" s="52" t="s">
        <v>2521</v>
      </c>
      <c r="C4" s="51" t="s">
        <v>1950</v>
      </c>
      <c r="E4" t="s">
        <v>1940</v>
      </c>
    </row>
    <row r="5" spans="1:5" x14ac:dyDescent="0.2">
      <c r="A5" s="6">
        <v>5</v>
      </c>
      <c r="B5" s="52" t="s">
        <v>2525</v>
      </c>
      <c r="C5" s="51" t="s">
        <v>1947</v>
      </c>
      <c r="E5" t="s">
        <v>1956</v>
      </c>
    </row>
    <row r="6" spans="1:5" x14ac:dyDescent="0.2">
      <c r="A6" s="6">
        <v>6</v>
      </c>
      <c r="B6" s="52" t="s">
        <v>2526</v>
      </c>
      <c r="C6" s="51" t="s">
        <v>1950</v>
      </c>
      <c r="E6" t="s">
        <v>1941</v>
      </c>
    </row>
    <row r="7" spans="1:5" x14ac:dyDescent="0.2">
      <c r="E7" t="s">
        <v>1942</v>
      </c>
    </row>
    <row r="8" spans="1:5" x14ac:dyDescent="0.2">
      <c r="E8" t="s">
        <v>1943</v>
      </c>
    </row>
    <row r="9" spans="1:5" x14ac:dyDescent="0.2">
      <c r="E9" t="s">
        <v>1944</v>
      </c>
    </row>
    <row r="10" spans="1:5" x14ac:dyDescent="0.2">
      <c r="E10" t="s">
        <v>2416</v>
      </c>
    </row>
    <row r="11" spans="1:5" x14ac:dyDescent="0.2">
      <c r="E11" t="s">
        <v>1945</v>
      </c>
    </row>
    <row r="12" spans="1:5" x14ac:dyDescent="0.2">
      <c r="E12" t="s">
        <v>1946</v>
      </c>
    </row>
    <row r="13" spans="1:5" x14ac:dyDescent="0.2">
      <c r="E13" t="s">
        <v>1947</v>
      </c>
    </row>
    <row r="14" spans="1:5" x14ac:dyDescent="0.2">
      <c r="E14" t="s">
        <v>1948</v>
      </c>
    </row>
    <row r="15" spans="1:5" x14ac:dyDescent="0.2">
      <c r="E15" t="s">
        <v>1949</v>
      </c>
    </row>
    <row r="16" spans="1:5" x14ac:dyDescent="0.2">
      <c r="E16" t="s">
        <v>1950</v>
      </c>
    </row>
    <row r="17" spans="1:5" x14ac:dyDescent="0.2">
      <c r="E17" t="s">
        <v>1951</v>
      </c>
    </row>
    <row r="18" spans="1:5" x14ac:dyDescent="0.2">
      <c r="A18" s="295" t="s">
        <v>2055</v>
      </c>
      <c r="B18" s="295"/>
      <c r="C18" s="202" t="s">
        <v>2415</v>
      </c>
      <c r="E18" t="s">
        <v>1952</v>
      </c>
    </row>
    <row r="19" spans="1:5" x14ac:dyDescent="0.2">
      <c r="E19" t="s">
        <v>1953</v>
      </c>
    </row>
    <row r="20" spans="1:5" x14ac:dyDescent="0.2">
      <c r="A20" s="296" t="s">
        <v>2056</v>
      </c>
      <c r="B20" s="296"/>
      <c r="E20" t="s">
        <v>1954</v>
      </c>
    </row>
    <row r="21" spans="1:5" x14ac:dyDescent="0.2">
      <c r="A21" s="203">
        <v>6</v>
      </c>
      <c r="B21" s="202" t="s">
        <v>1804</v>
      </c>
      <c r="E21" t="s">
        <v>1955</v>
      </c>
    </row>
    <row r="22" spans="1:5" x14ac:dyDescent="0.2">
      <c r="A22" s="203">
        <v>6</v>
      </c>
      <c r="B22" s="204" t="s">
        <v>2057</v>
      </c>
    </row>
    <row r="23" spans="1:5" x14ac:dyDescent="0.2">
      <c r="A23" s="203">
        <v>5</v>
      </c>
      <c r="B23" s="204" t="s">
        <v>2058</v>
      </c>
    </row>
  </sheetData>
  <mergeCells count="2">
    <mergeCell ref="A18:B18"/>
    <mergeCell ref="A20:B20"/>
  </mergeCells>
  <dataValidations count="1">
    <dataValidation type="list" allowBlank="1" showInputMessage="1" showErrorMessage="1" sqref="C1:C6" xr:uid="{24D81361-D31D-42EC-8E22-6D035F6762C5}">
      <formula1>$E:$E</formula1>
    </dataValidation>
  </dataValidation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5860-4AB5-4B27-BA9C-7B3308A6E980}">
  <sheetPr>
    <tabColor rgb="FFFFFF00"/>
  </sheetPr>
  <dimension ref="A1:AE22"/>
  <sheetViews>
    <sheetView workbookViewId="0">
      <selection activeCell="L12" sqref="L12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16" width="4.42578125" customWidth="1"/>
    <col min="17" max="17" width="11.42578125" customWidth="1"/>
    <col min="18" max="18" width="14.28515625" customWidth="1"/>
    <col min="19" max="26" width="11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 t="s">
        <v>1785</v>
      </c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 t="str">
        <f>Schlüssel!BA1</f>
        <v>16.02.</v>
      </c>
      <c r="O1" s="378"/>
      <c r="P1" s="51"/>
      <c r="Q1" s="51"/>
      <c r="AA1" s="215" t="s">
        <v>2091</v>
      </c>
    </row>
    <row r="2" spans="1:31" ht="28.5" customHeight="1" x14ac:dyDescent="0.2">
      <c r="A2" s="379" t="str">
        <f>"Saison "&amp;Spielorte!C18&amp;"     -     Spieltag "&amp;Erfassung3!AD2&amp;"     -     "&amp;TEXT(Erfassung3!AD1,"T. MMMM JJJJ")</f>
        <v>Saison 2024/2025     -     Spieltag 3     -     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</row>
    <row r="3" spans="1:31" ht="28.5" customHeight="1" x14ac:dyDescent="0.2">
      <c r="A3" s="379" t="str">
        <f>Schlüssel!$AQ$2</f>
        <v>Nürnberg West Bowling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</row>
    <row r="4" spans="1:31" ht="28.5" customHeight="1" thickBot="1" x14ac:dyDescent="0.35">
      <c r="A4" s="64"/>
      <c r="B4" s="64"/>
      <c r="C4" s="205" t="s">
        <v>1786</v>
      </c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INDEX(Erfassung3!$S:$S,MATCH($A7,Erfassung3!$BN:$BN,0)-17)</f>
        <v>Adler Nürnberg 1</v>
      </c>
      <c r="C7" s="99">
        <f>INDEX(Erfassung3!U:U,MATCH($A7,Erfassung3!$BN:$BN,0)-1)</f>
        <v>709</v>
      </c>
      <c r="D7" s="100">
        <f>INDEX(Erfassung3!V:V,MATCH($A7,Erfassung3!$BN:$BN,0))</f>
        <v>2</v>
      </c>
      <c r="E7" s="99">
        <f>INDEX(Erfassung3!W:W,MATCH($A7,Erfassung3!$BN:$BN,0)-1)</f>
        <v>829</v>
      </c>
      <c r="F7" s="100">
        <f>INDEX(Erfassung3!X:X,MATCH($A7,Erfassung3!$BN:$BN,0))</f>
        <v>6</v>
      </c>
      <c r="G7" s="99">
        <f>INDEX(Erfassung3!Y:Y,MATCH($A7,Erfassung3!$BN:$BN,0)-1)</f>
        <v>695</v>
      </c>
      <c r="H7" s="100">
        <f>INDEX(Erfassung3!Z:Z,MATCH($A7,Erfassung3!$BN:$BN,0))</f>
        <v>1</v>
      </c>
      <c r="I7" s="99">
        <f>INDEX(Erfassung3!AA:AA,MATCH($A7,Erfassung3!$BN:$BN,0)-1)</f>
        <v>622</v>
      </c>
      <c r="J7" s="100">
        <f>INDEX(Erfassung3!AB:AB,MATCH($A7,Erfassung3!$BN:$BN,0))</f>
        <v>4</v>
      </c>
      <c r="K7" s="99">
        <f>INDEX(Erfassung3!AC:AC,MATCH($A7,Erfassung3!$BN:$BN,0)-1)</f>
        <v>658</v>
      </c>
      <c r="L7" s="100">
        <f>INDEX(Erfassung3!AD:AD,MATCH($A7,Erfassung3!$BN:$BN,0))</f>
        <v>5</v>
      </c>
      <c r="M7" s="101">
        <f t="shared" ref="M7:N12" si="0">SUM(C7+E7+G7+I7+K7)</f>
        <v>3513</v>
      </c>
      <c r="N7" s="102">
        <f t="shared" si="0"/>
        <v>18</v>
      </c>
      <c r="O7" s="76">
        <f>IFERROR(M7/INDEX(Erfassung3!BF:BF,MATCH(A7,Erfassung3!BN:BN,0)),0)</f>
        <v>175.65</v>
      </c>
      <c r="P7" s="122"/>
      <c r="Q7" s="51"/>
      <c r="AA7" s="213">
        <f>INDEX(TabGes2!G:G,MATCH(B7,TabGes2!B:B,0))+M7</f>
        <v>10309</v>
      </c>
      <c r="AB7" s="213">
        <f>INDEX(TabGes2!H:H,MATCH(B7,TabGes2!B:B,0))+N7</f>
        <v>50.5</v>
      </c>
      <c r="AC7" s="215">
        <f t="shared" ref="AC7:AC12" si="1">+AB7+AA7/1000000000</f>
        <v>50.500010308999997</v>
      </c>
      <c r="AD7" s="215">
        <f t="shared" ref="AD7:AD12" si="2">RANK(AC7,AC:AC)</f>
        <v>3</v>
      </c>
      <c r="AE7" s="215">
        <f>INDEX(Tabelle2!AE:AE,MATCH(B7,Tabelle2!B:B,0))+SUMIF(Erfassung3!BQ:BQ,B7,Erfassung3!BF:BF)</f>
        <v>60</v>
      </c>
    </row>
    <row r="8" spans="1:31" ht="42" customHeight="1" thickBot="1" x14ac:dyDescent="0.25">
      <c r="A8" s="209">
        <v>2</v>
      </c>
      <c r="B8" s="121" t="str">
        <f>INDEX(Erfassung3!$S:$S,MATCH($A8,Erfassung3!$BN:$BN,0)-17)</f>
        <v>Kings Club Bayreuth Land 3</v>
      </c>
      <c r="C8" s="99">
        <f>INDEX(Erfassung3!U:U,MATCH($A8,Erfassung3!$BN:$BN,0)-1)</f>
        <v>665</v>
      </c>
      <c r="D8" s="100">
        <f>INDEX(Erfassung3!V:V,MATCH($A8,Erfassung3!$BN:$BN,0))</f>
        <v>2</v>
      </c>
      <c r="E8" s="99">
        <f>INDEX(Erfassung3!W:W,MATCH($A8,Erfassung3!$BN:$BN,0)-1)</f>
        <v>662</v>
      </c>
      <c r="F8" s="100">
        <f>INDEX(Erfassung3!X:X,MATCH($A8,Erfassung3!$BN:$BN,0))</f>
        <v>5</v>
      </c>
      <c r="G8" s="99">
        <f>INDEX(Erfassung3!Y:Y,MATCH($A8,Erfassung3!$BN:$BN,0)-1)</f>
        <v>721</v>
      </c>
      <c r="H8" s="100">
        <f>INDEX(Erfassung3!Z:Z,MATCH($A8,Erfassung3!$BN:$BN,0))</f>
        <v>4</v>
      </c>
      <c r="I8" s="99">
        <f>INDEX(Erfassung3!AA:AA,MATCH($A8,Erfassung3!$BN:$BN,0)-1)</f>
        <v>715</v>
      </c>
      <c r="J8" s="100">
        <f>INDEX(Erfassung3!AB:AB,MATCH($A8,Erfassung3!$BN:$BN,0))</f>
        <v>4</v>
      </c>
      <c r="K8" s="99">
        <f>INDEX(Erfassung3!AC:AC,MATCH($A8,Erfassung3!$BN:$BN,0)-1)</f>
        <v>615</v>
      </c>
      <c r="L8" s="100">
        <f>INDEX(Erfassung3!AD:AD,MATCH($A8,Erfassung3!$BN:$BN,0))</f>
        <v>1</v>
      </c>
      <c r="M8" s="101">
        <f t="shared" si="0"/>
        <v>3378</v>
      </c>
      <c r="N8" s="102">
        <f t="shared" si="0"/>
        <v>16</v>
      </c>
      <c r="O8" s="76">
        <f>IFERROR(M8/INDEX(Erfassung3!BF:BF,MATCH(A8,Erfassung3!BN:BN,0)),0)</f>
        <v>168.9</v>
      </c>
      <c r="P8" s="122"/>
      <c r="Q8" s="51"/>
      <c r="AA8" s="213">
        <f>INDEX(TabGes2!G:G,MATCH(B8,TabGes2!B:B,0))+M8</f>
        <v>10195</v>
      </c>
      <c r="AB8" s="213">
        <f>INDEX(TabGes2!H:H,MATCH(B8,TabGes2!B:B,0))+N8</f>
        <v>42.5</v>
      </c>
      <c r="AC8" s="215">
        <f t="shared" si="1"/>
        <v>42.500010195000002</v>
      </c>
      <c r="AD8" s="215">
        <f t="shared" si="2"/>
        <v>4</v>
      </c>
      <c r="AE8" s="215">
        <f>INDEX(Tabelle2!AE:AE,MATCH(B8,Tabelle2!B:B,0))+SUMIF(Erfassung3!BQ:BQ,B8,Erfassung3!BF:BF)</f>
        <v>60</v>
      </c>
    </row>
    <row r="9" spans="1:31" ht="42" customHeight="1" thickBot="1" x14ac:dyDescent="0.25">
      <c r="A9" s="209">
        <v>3</v>
      </c>
      <c r="B9" s="121" t="str">
        <f>INDEX(Erfassung3!$S:$S,MATCH($A9,Erfassung3!$BN:$BN,0)-17)</f>
        <v>Castra Regina Regensburg 2</v>
      </c>
      <c r="C9" s="99">
        <f>INDEX(Erfassung3!U:U,MATCH($A9,Erfassung3!$BN:$BN,0)-1)</f>
        <v>696</v>
      </c>
      <c r="D9" s="100">
        <f>INDEX(Erfassung3!V:V,MATCH($A9,Erfassung3!$BN:$BN,0))</f>
        <v>5</v>
      </c>
      <c r="E9" s="99">
        <f>INDEX(Erfassung3!W:W,MATCH($A9,Erfassung3!$BN:$BN,0)-1)</f>
        <v>647</v>
      </c>
      <c r="F9" s="100">
        <f>INDEX(Erfassung3!X:X,MATCH($A9,Erfassung3!$BN:$BN,0))</f>
        <v>1</v>
      </c>
      <c r="G9" s="99">
        <f>INDEX(Erfassung3!Y:Y,MATCH($A9,Erfassung3!$BN:$BN,0)-1)</f>
        <v>723</v>
      </c>
      <c r="H9" s="100">
        <f>INDEX(Erfassung3!Z:Z,MATCH($A9,Erfassung3!$BN:$BN,0))</f>
        <v>5</v>
      </c>
      <c r="I9" s="99">
        <f>INDEX(Erfassung3!AA:AA,MATCH($A9,Erfassung3!$BN:$BN,0)-1)</f>
        <v>663</v>
      </c>
      <c r="J9" s="100">
        <f>INDEX(Erfassung3!AB:AB,MATCH($A9,Erfassung3!$BN:$BN,0))</f>
        <v>1</v>
      </c>
      <c r="K9" s="99">
        <f>INDEX(Erfassung3!AC:AC,MATCH($A9,Erfassung3!$BN:$BN,0)-1)</f>
        <v>723</v>
      </c>
      <c r="L9" s="100">
        <f>INDEX(Erfassung3!AD:AD,MATCH($A9,Erfassung3!$BN:$BN,0))</f>
        <v>3</v>
      </c>
      <c r="M9" s="101">
        <f t="shared" si="0"/>
        <v>3452</v>
      </c>
      <c r="N9" s="102">
        <f t="shared" si="0"/>
        <v>15</v>
      </c>
      <c r="O9" s="76">
        <f>IFERROR(M9/INDEX(Erfassung3!BF:BF,MATCH(A9,Erfassung3!BN:BN,0)),0)</f>
        <v>172.6</v>
      </c>
      <c r="P9" s="122"/>
      <c r="Q9" s="51"/>
      <c r="AA9" s="213">
        <f>INDEX(TabGes2!G:G,MATCH(B9,TabGes2!B:B,0))+M9</f>
        <v>10852</v>
      </c>
      <c r="AB9" s="213">
        <f>INDEX(TabGes2!H:H,MATCH(B9,TabGes2!B:B,0))+N9</f>
        <v>53</v>
      </c>
      <c r="AC9" s="215">
        <f t="shared" si="1"/>
        <v>53.000010852000003</v>
      </c>
      <c r="AD9" s="215">
        <f t="shared" si="2"/>
        <v>1</v>
      </c>
      <c r="AE9" s="215">
        <f>INDEX(Tabelle2!AE:AE,MATCH(B9,Tabelle2!B:B,0))+SUMIF(Erfassung3!BQ:BQ,B9,Erfassung3!BF:BF)</f>
        <v>60</v>
      </c>
    </row>
    <row r="10" spans="1:31" ht="42" customHeight="1" thickBot="1" x14ac:dyDescent="0.25">
      <c r="A10" s="209">
        <v>4</v>
      </c>
      <c r="B10" s="121" t="str">
        <f>INDEX(Erfassung3!$S:$S,MATCH($A10,Erfassung3!$BN:$BN,0)-17)</f>
        <v>Castra Regina Regensburg 3</v>
      </c>
      <c r="C10" s="99">
        <f>INDEX(Erfassung3!U:U,MATCH($A10,Erfassung3!$BN:$BN,0)-1)</f>
        <v>666</v>
      </c>
      <c r="D10" s="100">
        <f>INDEX(Erfassung3!V:V,MATCH($A10,Erfassung3!$BN:$BN,0))</f>
        <v>4</v>
      </c>
      <c r="E10" s="99">
        <f>INDEX(Erfassung3!W:W,MATCH($A10,Erfassung3!$BN:$BN,0)-1)</f>
        <v>682</v>
      </c>
      <c r="F10" s="100">
        <f>INDEX(Erfassung3!X:X,MATCH($A10,Erfassung3!$BN:$BN,0))</f>
        <v>0</v>
      </c>
      <c r="G10" s="99">
        <f>INDEX(Erfassung3!Y:Y,MATCH($A10,Erfassung3!$BN:$BN,0)-1)</f>
        <v>689</v>
      </c>
      <c r="H10" s="100">
        <f>INDEX(Erfassung3!Z:Z,MATCH($A10,Erfassung3!$BN:$BN,0))</f>
        <v>2</v>
      </c>
      <c r="I10" s="99">
        <f>INDEX(Erfassung3!AA:AA,MATCH($A10,Erfassung3!$BN:$BN,0)-1)</f>
        <v>674</v>
      </c>
      <c r="J10" s="100">
        <f>INDEX(Erfassung3!AB:AB,MATCH($A10,Erfassung3!$BN:$BN,0))</f>
        <v>5</v>
      </c>
      <c r="K10" s="99">
        <f>INDEX(Erfassung3!AC:AC,MATCH($A10,Erfassung3!$BN:$BN,0)-1)</f>
        <v>656</v>
      </c>
      <c r="L10" s="100">
        <f>INDEX(Erfassung3!AD:AD,MATCH($A10,Erfassung3!$BN:$BN,0))</f>
        <v>4</v>
      </c>
      <c r="M10" s="101">
        <f t="shared" si="0"/>
        <v>3367</v>
      </c>
      <c r="N10" s="102">
        <f t="shared" si="0"/>
        <v>15</v>
      </c>
      <c r="O10" s="76">
        <f>IFERROR(M10/INDEX(Erfassung3!BF:BF,MATCH(A10,Erfassung3!BN:BN,0)),0)</f>
        <v>168.35</v>
      </c>
      <c r="P10" s="122"/>
      <c r="Q10" s="51"/>
      <c r="AA10" s="213">
        <f>INDEX(TabGes2!G:G,MATCH(B10,TabGes2!B:B,0))+M10</f>
        <v>10568</v>
      </c>
      <c r="AB10" s="213">
        <f>INDEX(TabGes2!H:H,MATCH(B10,TabGes2!B:B,0))+N10</f>
        <v>53</v>
      </c>
      <c r="AC10" s="215">
        <f t="shared" si="1"/>
        <v>53.000010568</v>
      </c>
      <c r="AD10" s="215">
        <f t="shared" si="2"/>
        <v>2</v>
      </c>
      <c r="AE10" s="215">
        <f>INDEX(Tabelle2!AE:AE,MATCH(B10,Tabelle2!B:B,0))+SUMIF(Erfassung3!BQ:BQ,B10,Erfassung3!BF:BF)</f>
        <v>60</v>
      </c>
    </row>
    <row r="11" spans="1:31" ht="42" customHeight="1" thickBot="1" x14ac:dyDescent="0.25">
      <c r="A11" s="209">
        <v>5</v>
      </c>
      <c r="B11" s="121" t="str">
        <f>INDEX(Erfassung3!$S:$S,MATCH($A11,Erfassung3!$BN:$BN,0)-17)</f>
        <v>Herzogenaurach 1</v>
      </c>
      <c r="C11" s="99">
        <f>INDEX(Erfassung3!U:U,MATCH($A11,Erfassung3!$BN:$BN,0)-1)</f>
        <v>755</v>
      </c>
      <c r="D11" s="100">
        <f>INDEX(Erfassung3!V:V,MATCH($A11,Erfassung3!$BN:$BN,0))</f>
        <v>4</v>
      </c>
      <c r="E11" s="99">
        <f>INDEX(Erfassung3!W:W,MATCH($A11,Erfassung3!$BN:$BN,0)-1)</f>
        <v>608</v>
      </c>
      <c r="F11" s="100">
        <f>INDEX(Erfassung3!X:X,MATCH($A11,Erfassung3!$BN:$BN,0))</f>
        <v>0</v>
      </c>
      <c r="G11" s="99">
        <f>INDEX(Erfassung3!Y:Y,MATCH($A11,Erfassung3!$BN:$BN,0)-1)</f>
        <v>708</v>
      </c>
      <c r="H11" s="100">
        <f>INDEX(Erfassung3!Z:Z,MATCH($A11,Erfassung3!$BN:$BN,0))</f>
        <v>4</v>
      </c>
      <c r="I11" s="99">
        <f>INDEX(Erfassung3!AA:AA,MATCH($A11,Erfassung3!$BN:$BN,0)-1)</f>
        <v>697</v>
      </c>
      <c r="J11" s="100">
        <f>INDEX(Erfassung3!AB:AB,MATCH($A11,Erfassung3!$BN:$BN,0))</f>
        <v>2</v>
      </c>
      <c r="K11" s="99">
        <f>INDEX(Erfassung3!AC:AC,MATCH($A11,Erfassung3!$BN:$BN,0)-1)</f>
        <v>703</v>
      </c>
      <c r="L11" s="100">
        <f>INDEX(Erfassung3!AD:AD,MATCH($A11,Erfassung3!$BN:$BN,0))</f>
        <v>3</v>
      </c>
      <c r="M11" s="101">
        <f t="shared" si="0"/>
        <v>3471</v>
      </c>
      <c r="N11" s="102">
        <f t="shared" si="0"/>
        <v>13</v>
      </c>
      <c r="O11" s="76">
        <f>IFERROR(M11/INDEX(Erfassung3!BF:BF,MATCH(A11,Erfassung3!BN:BN,0)),0)</f>
        <v>173.55</v>
      </c>
      <c r="P11" s="122"/>
      <c r="Q11" s="51"/>
      <c r="AA11" s="213">
        <f>INDEX(TabGes2!G:G,MATCH(B11,TabGes2!B:B,0))+M11</f>
        <v>10596</v>
      </c>
      <c r="AB11" s="213">
        <f>INDEX(TabGes2!H:H,MATCH(B11,TabGes2!B:B,0))+N11</f>
        <v>42</v>
      </c>
      <c r="AC11" s="215">
        <f t="shared" si="1"/>
        <v>42.000010596000003</v>
      </c>
      <c r="AD11" s="215">
        <f t="shared" si="2"/>
        <v>5</v>
      </c>
      <c r="AE11" s="215">
        <f>INDEX(Tabelle2!AE:AE,MATCH(B11,Tabelle2!B:B,0))+SUMIF(Erfassung3!BQ:BQ,B11,Erfassung3!BF:BF)</f>
        <v>60</v>
      </c>
    </row>
    <row r="12" spans="1:31" ht="42" customHeight="1" thickBot="1" x14ac:dyDescent="0.25">
      <c r="A12" s="209">
        <v>6</v>
      </c>
      <c r="B12" s="121" t="str">
        <f>INDEX(Erfassung3!$S:$S,MATCH($A12,Erfassung3!$BN:$BN,0)-17)</f>
        <v>Kings Club Bayreuth Land 2</v>
      </c>
      <c r="C12" s="99">
        <f>INDEX(Erfassung3!U:U,MATCH($A12,Erfassung3!$BN:$BN,0)-1)</f>
        <v>604</v>
      </c>
      <c r="D12" s="100">
        <f>INDEX(Erfassung3!V:V,MATCH($A12,Erfassung3!$BN:$BN,0))</f>
        <v>1</v>
      </c>
      <c r="E12" s="99">
        <f>INDEX(Erfassung3!W:W,MATCH($A12,Erfassung3!$BN:$BN,0)-1)</f>
        <v>678</v>
      </c>
      <c r="F12" s="100">
        <f>INDEX(Erfassung3!X:X,MATCH($A12,Erfassung3!$BN:$BN,0))</f>
        <v>6</v>
      </c>
      <c r="G12" s="99">
        <f>INDEX(Erfassung3!Y:Y,MATCH($A12,Erfassung3!$BN:$BN,0)-1)</f>
        <v>652</v>
      </c>
      <c r="H12" s="100">
        <f>INDEX(Erfassung3!Z:Z,MATCH($A12,Erfassung3!$BN:$BN,0))</f>
        <v>2</v>
      </c>
      <c r="I12" s="99">
        <f>INDEX(Erfassung3!AA:AA,MATCH($A12,Erfassung3!$BN:$BN,0)-1)</f>
        <v>573</v>
      </c>
      <c r="J12" s="100">
        <f>INDEX(Erfassung3!AB:AB,MATCH($A12,Erfassung3!$BN:$BN,0))</f>
        <v>2</v>
      </c>
      <c r="K12" s="99">
        <f>INDEX(Erfassung3!AC:AC,MATCH($A12,Erfassung3!$BN:$BN,0)-1)</f>
        <v>630</v>
      </c>
      <c r="L12" s="100">
        <f>INDEX(Erfassung3!AD:AD,MATCH($A12,Erfassung3!$BN:$BN,0))</f>
        <v>2</v>
      </c>
      <c r="M12" s="101">
        <f t="shared" si="0"/>
        <v>3137</v>
      </c>
      <c r="N12" s="102">
        <f t="shared" si="0"/>
        <v>13</v>
      </c>
      <c r="O12" s="76">
        <f>IFERROR(M12/INDEX(Erfassung3!BF:BF,MATCH(A12,Erfassung3!BN:BN,0)),0)</f>
        <v>156.85</v>
      </c>
      <c r="P12" s="122"/>
      <c r="Q12" s="51"/>
      <c r="AA12" s="213">
        <f>INDEX(TabGes2!G:G,MATCH(B12,TabGes2!B:B,0))+M12</f>
        <v>9756</v>
      </c>
      <c r="AB12" s="213">
        <f>INDEX(TabGes2!H:H,MATCH(B12,TabGes2!B:B,0))+N12</f>
        <v>29</v>
      </c>
      <c r="AC12" s="215">
        <f t="shared" si="1"/>
        <v>29.000009756000001</v>
      </c>
      <c r="AD12" s="215">
        <f t="shared" si="2"/>
        <v>6</v>
      </c>
      <c r="AE12" s="215">
        <f>INDEX(Tabelle2!AE:AE,MATCH(B12,Tabelle2!B:B,0))+SUMIF(Erfassung3!BQ:BQ,B12,Erfassung3!BF:BF)</f>
        <v>60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</row>
    <row r="16" spans="1:31" x14ac:dyDescent="0.2">
      <c r="C16" s="382"/>
      <c r="D16" s="382"/>
      <c r="E16" s="382"/>
      <c r="F16" s="382"/>
      <c r="G16" s="382"/>
      <c r="H16" s="382"/>
    </row>
    <row r="17" spans="2:16" x14ac:dyDescent="0.2">
      <c r="B17" s="106" t="s">
        <v>1817</v>
      </c>
      <c r="C17" t="str">
        <f>IFERROR(INDEX(Erfassung3!S:S,MATCH(1,Erfassung3!BR:BR,0)),"")</f>
        <v>Beier, Thomas</v>
      </c>
      <c r="H17" t="str">
        <f>INDEX(Erfassung3!BQ:BQ,MATCH(C17,Erfassung3!S:S,0))</f>
        <v>Adler Nürnberg 1</v>
      </c>
      <c r="N17" s="104">
        <f>IFERROR(ROUND(INDEX(Erfassung3!BP:BP,MATCH(1,Erfassung3!BR:BR,0)),0),"")</f>
        <v>235</v>
      </c>
    </row>
    <row r="18" spans="2:16" x14ac:dyDescent="0.2">
      <c r="B18" s="106"/>
      <c r="C18" t="str">
        <f>IF(N18="","",IFERROR(INDEX(Erfassung3!S:S,MATCH(2,Erfassung3!BR:BR,0)),""))</f>
        <v/>
      </c>
      <c r="H18" t="str">
        <f>IF(C18="","",INDEX(Erfassung3!BQ:BQ,MATCH(C18,Erfassung3!S:S,0)))</f>
        <v/>
      </c>
      <c r="N18" s="105" t="str">
        <f>IF(IFERROR(ROUND(INDEX(Erfassung3!BP:BP,MATCH(2,Erfassung3!BR:BR,0)),0),0)=0,"",IFERROR(ROUND(INDEX(Erfassung3!BP:BP,MATCH(2,Erfassung3!BR:BR,0)),0),0))</f>
        <v/>
      </c>
    </row>
    <row r="19" spans="2:16" x14ac:dyDescent="0.2">
      <c r="B19" s="106"/>
      <c r="C19" t="str">
        <f>IF(N19="","",IFERROR(INDEX(Erfassung3!S:S,MATCH(3,Erfassung3!BR:BR,0)),""))</f>
        <v/>
      </c>
      <c r="H19" t="str">
        <f>IF(C19="","",INDEX(Erfassung3!BQ:BQ,MATCH(C19,Erfassung3!S:S,0)))</f>
        <v/>
      </c>
      <c r="N19" s="105" t="str">
        <f>IF(IFERROR(ROUND(INDEX(Erfassung3!BP:BP,MATCH(3,Erfassung3!BR:BR,0)),0),0)=0,"",IFERROR(ROUND(INDEX(Erfassung3!BP:BP,MATCH(3,Erfassung3!BR:BR,0)),0),""))</f>
        <v/>
      </c>
    </row>
    <row r="20" spans="2:16" x14ac:dyDescent="0.2">
      <c r="B20" s="106" t="s">
        <v>1818</v>
      </c>
      <c r="C20" t="str">
        <f>IFERROR(INDEX(Erfassung3!S:S,MATCH(1,Erfassung3!BV:BV,0)),"")</f>
        <v>Zehendner, Lukas</v>
      </c>
      <c r="H20" t="str">
        <f>INDEX(Erfassung3!BQ:BQ,MATCH(C20,Erfassung3!S:S,0))</f>
        <v>Castra Regina Regensburg 2</v>
      </c>
      <c r="N20" s="387" t="str">
        <f>IFERROR(ROUND(INDEX(Erfassung3!BS:BS,MATCH(1,Erfassung3!BV:BV,0)),0),"")&amp;"  /  "&amp;ROUND(IFERROR(ROUND(INDEX(Erfassung3!BS:BS,MATCH(1,Erfassung3!BV:BV,0)),0),"")/5,2)</f>
        <v>949  /  189,8</v>
      </c>
      <c r="O20" s="387"/>
      <c r="P20" s="92"/>
    </row>
    <row r="21" spans="2:16" x14ac:dyDescent="0.2">
      <c r="C21" t="str">
        <f>IF(N21="","",IFERROR(INDEX(Erfassung3!S:S,MATCH(2,Erfassung3!BV:BV,0)),""))</f>
        <v>Stibel, Blasius</v>
      </c>
      <c r="E21" s="6"/>
      <c r="H21" t="str">
        <f>IF(C21="","",INDEX(Erfassung3!BQ:BQ,MATCH(C21,Erfassung3!S:S,0)))</f>
        <v>Castra Regina Regensburg 3</v>
      </c>
      <c r="N21" s="105">
        <f>IF(IFERROR(ROUND(INDEX(Erfassung3!BS:BS,MATCH(2,Erfassung3!BV:BV,0)),0),0)=0,"",IFERROR(ROUND(INDEX(Erfassung3!BS:BS,MATCH(2,Erfassung3!BV:BV,0)),0),0))</f>
        <v>949</v>
      </c>
    </row>
    <row r="22" spans="2:16" x14ac:dyDescent="0.2">
      <c r="C22" t="str">
        <f>IF(N22="","",IFERROR(INDEX(Erfassung3!S:S,MATCH(3,Erfassung3!BV:BV,0)),""))</f>
        <v/>
      </c>
      <c r="E22" s="6"/>
      <c r="H22" t="str">
        <f>IF(C22="","",INDEX(Erfassung3!BQ:BQ,MATCH(C22,Erfassung3!S:S,0)))</f>
        <v/>
      </c>
      <c r="N22" s="105" t="str">
        <f>IF(IFERROR(ROUND(INDEX(Erfassung3!BS:BS,MATCH(3,Erfassung3!BV:BV,0)),0),0)=0,"",IFERROR(ROUND(INDEX(Erfassung3!BS:BS,MATCH(3,Erfassung3!BV:BV,0)),0),0))</f>
        <v/>
      </c>
    </row>
  </sheetData>
  <sheetProtection password="D19C" sheet="1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6:H16"/>
    <mergeCell ref="N20:O20"/>
    <mergeCell ref="M5:N5"/>
    <mergeCell ref="O5:O6"/>
    <mergeCell ref="K5:L5"/>
    <mergeCell ref="B15:O15"/>
  </mergeCells>
  <conditionalFormatting sqref="C7:L12">
    <cfRule type="top10" dxfId="9" priority="2" stopIfTrue="1" rank="1"/>
  </conditionalFormatting>
  <conditionalFormatting sqref="M7:M12">
    <cfRule type="top10" dxfId="8" priority="1" stopIfTrue="1" rank="1"/>
  </conditionalFormatting>
  <printOptions horizontalCentered="1" verticalCentered="1"/>
  <pageMargins left="0" right="0" top="0" bottom="0" header="0" footer="0"/>
  <pageSetup paperSize="9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EB8A-EF78-476C-AE94-45A027B8F6B2}">
  <sheetPr>
    <tabColor theme="8" tint="-0.249977111117893"/>
    <pageSetUpPr fitToPage="1"/>
  </sheetPr>
  <dimension ref="A1:L12"/>
  <sheetViews>
    <sheetView workbookViewId="0">
      <selection activeCell="L12" sqref="L12"/>
    </sheetView>
  </sheetViews>
  <sheetFormatPr baseColWidth="10" defaultRowHeight="12.75" x14ac:dyDescent="0.2"/>
  <cols>
    <col min="1" max="1" width="4.140625" customWidth="1"/>
    <col min="2" max="2" width="18.42578125" customWidth="1"/>
    <col min="3" max="8" width="8.7109375" customWidth="1"/>
    <col min="9" max="9" width="13.42578125" customWidth="1"/>
    <col min="10" max="10" width="9.42578125" customWidth="1"/>
    <col min="12" max="12" width="6.42578125" customWidth="1"/>
  </cols>
  <sheetData>
    <row r="1" spans="1:12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</row>
    <row r="2" spans="1:12" ht="28.5" customHeight="1" x14ac:dyDescent="0.2">
      <c r="A2" s="379" t="str">
        <f>"Saison "&amp;Spielorte!C18&amp;"     -     Spieltag "&amp;Erfassung3!AD2&amp;"     -     "&amp;TEXT(Erfassung3!AD1,"T. MMMM JJJJ")</f>
        <v>Saison 2024/2025     -     Spieltag 3     -     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2" ht="28.5" customHeight="1" x14ac:dyDescent="0.2">
      <c r="A3" s="378" t="s">
        <v>1863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</row>
    <row r="4" spans="1:12" ht="28.5" customHeight="1" thickBot="1" x14ac:dyDescent="0.25">
      <c r="A4" s="210"/>
      <c r="B4" s="210"/>
      <c r="C4" s="87"/>
      <c r="D4" s="211"/>
      <c r="E4" s="211"/>
      <c r="F4" s="211"/>
      <c r="G4" s="211"/>
      <c r="H4" s="211"/>
      <c r="I4" s="211"/>
      <c r="J4" s="88"/>
      <c r="K4" s="162"/>
    </row>
    <row r="5" spans="1:12" x14ac:dyDescent="0.2">
      <c r="A5" s="380" t="s">
        <v>1803</v>
      </c>
      <c r="B5" s="383" t="s">
        <v>1804</v>
      </c>
      <c r="C5" s="385" t="s">
        <v>1807</v>
      </c>
      <c r="D5" s="386"/>
      <c r="E5" s="385" t="s">
        <v>1808</v>
      </c>
      <c r="F5" s="386"/>
      <c r="G5" s="385" t="s">
        <v>1809</v>
      </c>
      <c r="H5" s="386"/>
      <c r="I5" s="385" t="s">
        <v>1791</v>
      </c>
      <c r="J5" s="386"/>
      <c r="K5" s="389" t="s">
        <v>1805</v>
      </c>
    </row>
    <row r="6" spans="1:12" ht="13.5" thickBot="1" x14ac:dyDescent="0.25">
      <c r="A6" s="381"/>
      <c r="B6" s="384"/>
      <c r="C6" s="74" t="s">
        <v>1799</v>
      </c>
      <c r="D6" s="75" t="s">
        <v>1800</v>
      </c>
      <c r="E6" s="74" t="s">
        <v>1799</v>
      </c>
      <c r="F6" s="75" t="s">
        <v>1800</v>
      </c>
      <c r="G6" s="74" t="s">
        <v>1799</v>
      </c>
      <c r="H6" s="75" t="s">
        <v>1800</v>
      </c>
      <c r="I6" s="74" t="s">
        <v>1799</v>
      </c>
      <c r="J6" s="75" t="s">
        <v>1800</v>
      </c>
      <c r="K6" s="390"/>
    </row>
    <row r="7" spans="1:12" ht="42" customHeight="1" thickBot="1" x14ac:dyDescent="0.25">
      <c r="A7" s="218">
        <v>1</v>
      </c>
      <c r="B7" s="121" t="str">
        <f>INDEX(Tabelle3!B:B,MATCH(A7,Tabelle3!AD:AD,0))</f>
        <v>Castra Regina Regensburg 2</v>
      </c>
      <c r="C7" s="164">
        <f>INDEX(Tabelle1!M:M,MATCH(B7,Tabelle1!B:B,0))</f>
        <v>3939</v>
      </c>
      <c r="D7" s="165">
        <f>INDEX(Tabelle1!N:N,MATCH(B7,Tabelle1!B:B,0))</f>
        <v>26</v>
      </c>
      <c r="E7" s="164">
        <f>INDEX(Tabelle2!M:M,MATCH(B7,Tabelle2!B:B,0))</f>
        <v>3461</v>
      </c>
      <c r="F7" s="165">
        <f>INDEX(Tabelle2!N:N,MATCH(B7,Tabelle2!B:B,0))</f>
        <v>12</v>
      </c>
      <c r="G7" s="164">
        <f>INDEX(Tabelle3!M:M,MATCH(B7,Tabelle3!B:B,0))</f>
        <v>3452</v>
      </c>
      <c r="H7" s="166">
        <f>INDEX(Tabelle3!N:N,MATCH(B7,Tabelle3!B:B,0))</f>
        <v>15</v>
      </c>
      <c r="I7" s="219">
        <f t="shared" ref="I7:J12" si="0">SUM(C7+E7+G7)</f>
        <v>10852</v>
      </c>
      <c r="J7" s="220">
        <f t="shared" si="0"/>
        <v>53</v>
      </c>
      <c r="K7" s="221">
        <f>I7/INDEX(Tabelle3!$AE:$AE,MATCH($B7,Tabelle3!$B:$B,0))</f>
        <v>180.86666666666667</v>
      </c>
      <c r="L7" s="81"/>
    </row>
    <row r="8" spans="1:12" ht="42" customHeight="1" thickBot="1" x14ac:dyDescent="0.25">
      <c r="A8" s="218">
        <v>2</v>
      </c>
      <c r="B8" s="121" t="str">
        <f>INDEX(Tabelle3!B:B,MATCH(A8,Tabelle3!AD:AD,0))</f>
        <v>Castra Regina Regensburg 3</v>
      </c>
      <c r="C8" s="164">
        <f>INDEX(Tabelle1!M:M,MATCH(B8,Tabelle1!B:B,0))</f>
        <v>3551</v>
      </c>
      <c r="D8" s="165">
        <f>INDEX(Tabelle1!N:N,MATCH(B8,Tabelle1!B:B,0))</f>
        <v>19</v>
      </c>
      <c r="E8" s="164">
        <f>INDEX(Tabelle2!M:M,MATCH(B8,Tabelle2!B:B,0))</f>
        <v>3650</v>
      </c>
      <c r="F8" s="165">
        <f>INDEX(Tabelle2!N:N,MATCH(B8,Tabelle2!B:B,0))</f>
        <v>19</v>
      </c>
      <c r="G8" s="164">
        <f>INDEX(Tabelle3!M:M,MATCH(B8,Tabelle3!B:B,0))</f>
        <v>3367</v>
      </c>
      <c r="H8" s="166">
        <f>INDEX(Tabelle3!N:N,MATCH(B8,Tabelle3!B:B,0))</f>
        <v>15</v>
      </c>
      <c r="I8" s="219">
        <f t="shared" si="0"/>
        <v>10568</v>
      </c>
      <c r="J8" s="220">
        <f t="shared" si="0"/>
        <v>53</v>
      </c>
      <c r="K8" s="221">
        <f>I8/INDEX(Tabelle3!$AE:$AE,MATCH($B8,Tabelle3!$B:$B,0))</f>
        <v>176.13333333333333</v>
      </c>
      <c r="L8" s="81"/>
    </row>
    <row r="9" spans="1:12" ht="42" customHeight="1" thickBot="1" x14ac:dyDescent="0.25">
      <c r="A9" s="218">
        <v>3</v>
      </c>
      <c r="B9" s="121" t="str">
        <f>INDEX(Tabelle3!B:B,MATCH(A9,Tabelle3!AD:AD,0))</f>
        <v>Adler Nürnberg 1</v>
      </c>
      <c r="C9" s="164">
        <f>INDEX(Tabelle1!M:M,MATCH(B9,Tabelle1!B:B,0))</f>
        <v>3454</v>
      </c>
      <c r="D9" s="165">
        <f>INDEX(Tabelle1!N:N,MATCH(B9,Tabelle1!B:B,0))</f>
        <v>17.5</v>
      </c>
      <c r="E9" s="164">
        <f>INDEX(Tabelle2!M:M,MATCH(B9,Tabelle2!B:B,0))</f>
        <v>3342</v>
      </c>
      <c r="F9" s="165">
        <f>INDEX(Tabelle2!N:N,MATCH(B9,Tabelle2!B:B,0))</f>
        <v>15</v>
      </c>
      <c r="G9" s="164">
        <f>INDEX(Tabelle3!M:M,MATCH(B9,Tabelle3!B:B,0))</f>
        <v>3513</v>
      </c>
      <c r="H9" s="166">
        <f>INDEX(Tabelle3!N:N,MATCH(B9,Tabelle3!B:B,0))</f>
        <v>18</v>
      </c>
      <c r="I9" s="219">
        <f t="shared" si="0"/>
        <v>10309</v>
      </c>
      <c r="J9" s="220">
        <f t="shared" si="0"/>
        <v>50.5</v>
      </c>
      <c r="K9" s="221">
        <f>I9/INDEX(Tabelle3!$AE:$AE,MATCH($B9,Tabelle3!$B:$B,0))</f>
        <v>171.81666666666666</v>
      </c>
      <c r="L9" s="81"/>
    </row>
    <row r="10" spans="1:12" ht="42" customHeight="1" thickBot="1" x14ac:dyDescent="0.25">
      <c r="A10" s="218">
        <v>4</v>
      </c>
      <c r="B10" s="121" t="str">
        <f>INDEX(Tabelle3!B:B,MATCH(A10,Tabelle3!AD:AD,0))</f>
        <v>Kings Club Bayreuth Land 3</v>
      </c>
      <c r="C10" s="164">
        <f>INDEX(Tabelle1!M:M,MATCH(B10,Tabelle1!B:B,0))</f>
        <v>3375</v>
      </c>
      <c r="D10" s="165">
        <f>INDEX(Tabelle1!N:N,MATCH(B10,Tabelle1!B:B,0))</f>
        <v>7.5</v>
      </c>
      <c r="E10" s="164">
        <f>INDEX(Tabelle2!M:M,MATCH(B10,Tabelle2!B:B,0))</f>
        <v>3442</v>
      </c>
      <c r="F10" s="165">
        <f>INDEX(Tabelle2!N:N,MATCH(B10,Tabelle2!B:B,0))</f>
        <v>19</v>
      </c>
      <c r="G10" s="164">
        <f>INDEX(Tabelle3!M:M,MATCH(B10,Tabelle3!B:B,0))</f>
        <v>3378</v>
      </c>
      <c r="H10" s="166">
        <f>INDEX(Tabelle3!N:N,MATCH(B10,Tabelle3!B:B,0))</f>
        <v>16</v>
      </c>
      <c r="I10" s="219">
        <f t="shared" si="0"/>
        <v>10195</v>
      </c>
      <c r="J10" s="220">
        <f t="shared" si="0"/>
        <v>42.5</v>
      </c>
      <c r="K10" s="221">
        <f>I10/INDEX(Tabelle3!$AE:$AE,MATCH($B10,Tabelle3!$B:$B,0))</f>
        <v>169.91666666666666</v>
      </c>
      <c r="L10" s="81"/>
    </row>
    <row r="11" spans="1:12" ht="42" customHeight="1" thickBot="1" x14ac:dyDescent="0.25">
      <c r="A11" s="218">
        <v>5</v>
      </c>
      <c r="B11" s="121" t="str">
        <f>INDEX(Tabelle3!B:B,MATCH(A11,Tabelle3!AD:AD,0))</f>
        <v>Herzogenaurach 1</v>
      </c>
      <c r="C11" s="164">
        <f>INDEX(Tabelle1!M:M,MATCH(B11,Tabelle1!B:B,0))</f>
        <v>3545</v>
      </c>
      <c r="D11" s="165">
        <f>INDEX(Tabelle1!N:N,MATCH(B11,Tabelle1!B:B,0))</f>
        <v>12</v>
      </c>
      <c r="E11" s="164">
        <f>INDEX(Tabelle2!M:M,MATCH(B11,Tabelle2!B:B,0))</f>
        <v>3580</v>
      </c>
      <c r="F11" s="165">
        <f>INDEX(Tabelle2!N:N,MATCH(B11,Tabelle2!B:B,0))</f>
        <v>17</v>
      </c>
      <c r="G11" s="164">
        <f>INDEX(Tabelle3!M:M,MATCH(B11,Tabelle3!B:B,0))</f>
        <v>3471</v>
      </c>
      <c r="H11" s="166">
        <f>INDEX(Tabelle3!N:N,MATCH(B11,Tabelle3!B:B,0))</f>
        <v>13</v>
      </c>
      <c r="I11" s="219">
        <f t="shared" si="0"/>
        <v>10596</v>
      </c>
      <c r="J11" s="220">
        <f t="shared" si="0"/>
        <v>42</v>
      </c>
      <c r="K11" s="221">
        <f>I11/INDEX(Tabelle3!$AE:$AE,MATCH($B11,Tabelle3!$B:$B,0))</f>
        <v>176.6</v>
      </c>
      <c r="L11" s="81"/>
    </row>
    <row r="12" spans="1:12" ht="42" customHeight="1" thickBot="1" x14ac:dyDescent="0.25">
      <c r="A12" s="218">
        <v>6</v>
      </c>
      <c r="B12" s="121" t="str">
        <f>INDEX(Tabelle3!B:B,MATCH(A12,Tabelle3!AD:AD,0))</f>
        <v>Kings Club Bayreuth Land 2</v>
      </c>
      <c r="C12" s="164">
        <f>INDEX(Tabelle1!M:M,MATCH(B12,Tabelle1!B:B,0))</f>
        <v>3248</v>
      </c>
      <c r="D12" s="165">
        <f>INDEX(Tabelle1!N:N,MATCH(B12,Tabelle1!B:B,0))</f>
        <v>8</v>
      </c>
      <c r="E12" s="164">
        <f>INDEX(Tabelle2!M:M,MATCH(B12,Tabelle2!B:B,0))</f>
        <v>3371</v>
      </c>
      <c r="F12" s="165">
        <f>INDEX(Tabelle2!N:N,MATCH(B12,Tabelle2!B:B,0))</f>
        <v>8</v>
      </c>
      <c r="G12" s="164">
        <f>INDEX(Tabelle3!M:M,MATCH(B12,Tabelle3!B:B,0))</f>
        <v>3137</v>
      </c>
      <c r="H12" s="166">
        <f>INDEX(Tabelle3!N:N,MATCH(B12,Tabelle3!B:B,0))</f>
        <v>13</v>
      </c>
      <c r="I12" s="219">
        <f t="shared" si="0"/>
        <v>9756</v>
      </c>
      <c r="J12" s="220">
        <f t="shared" si="0"/>
        <v>29</v>
      </c>
      <c r="K12" s="221">
        <f>IFERROR(I12/INDEX(Tabelle3!$AE:$AE,MATCH($B12,Tabelle3!$B:$B,0)),0)</f>
        <v>162.6</v>
      </c>
      <c r="L12" s="81"/>
    </row>
  </sheetData>
  <sheetProtection password="D19C" sheet="1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876D2-5AEB-4145-A1B7-38662D6F730B}">
  <sheetPr>
    <tabColor rgb="FF7030A0"/>
    <pageSetUpPr fitToPage="1"/>
  </sheetPr>
  <dimension ref="A1:P104"/>
  <sheetViews>
    <sheetView view="pageBreakPreview" zoomScaleNormal="100" zoomScaleSheetLayoutView="100" workbookViewId="0">
      <selection activeCell="L12" sqref="L12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3</v>
      </c>
      <c r="D2" s="114" t="s">
        <v>1821</v>
      </c>
      <c r="E2" s="115"/>
      <c r="F2" s="116"/>
      <c r="L2" s="108">
        <f>INDEX(Starter!A:A,ROW()-1)</f>
        <v>7136</v>
      </c>
      <c r="M2" s="108">
        <f>SUMIF(Erfassung3!BD:BD,L2,Erfassung3!BS:BS)</f>
        <v>778</v>
      </c>
      <c r="N2" s="108">
        <f>SUMIF(Erfassung3!BD:BD,L2,Erfassung3!BG:BG)</f>
        <v>5</v>
      </c>
      <c r="O2" s="108">
        <f>IF(N2=0,0,M2/N2-ROW()/1000000000)</f>
        <v>155.59999999799999</v>
      </c>
      <c r="P2" s="108">
        <f>RANK(O2,O:O)</f>
        <v>22</v>
      </c>
    </row>
    <row r="3" spans="1:16" x14ac:dyDescent="0.2">
      <c r="L3" s="108">
        <f>INDEX(Starter!A:A,ROW()-1)</f>
        <v>7123</v>
      </c>
      <c r="M3" s="108">
        <f>SUMIF(Erfassung3!BD:BD,L3,Erfassung3!BS:BS)</f>
        <v>754</v>
      </c>
      <c r="N3" s="108">
        <f>SUMIF(Erfassung3!BD:BD,L3,Erfassung3!BG:BG)</f>
        <v>5</v>
      </c>
      <c r="O3" s="108">
        <f t="shared" ref="O3:O66" si="0">IF(N3=0,0,M3/N3-ROW()/1000000000)</f>
        <v>150.79999999700001</v>
      </c>
      <c r="P3" s="108">
        <f t="shared" ref="P3:P66" si="1">RANK(O3,O:O)</f>
        <v>24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SUMIF(Erfassung3!BD:BD,L4,Erfassung3!BS:BS)</f>
        <v>0</v>
      </c>
      <c r="N4" s="108">
        <f>SUMIF(Erfassung3!BD:BD,L4,Erfassung3!BG:BG)</f>
        <v>0</v>
      </c>
      <c r="O4" s="108">
        <f t="shared" si="0"/>
        <v>0</v>
      </c>
      <c r="P4" s="108">
        <f t="shared" si="1"/>
        <v>28</v>
      </c>
    </row>
    <row r="5" spans="1:16" x14ac:dyDescent="0.2">
      <c r="A5" s="108">
        <v>1</v>
      </c>
      <c r="B5" s="108">
        <f t="shared" ref="B5:B68" si="2">IFERROR(INDEX(L:L,MATCH(A5,P:P,0)),"")</f>
        <v>7849</v>
      </c>
      <c r="C5" s="108" t="str">
        <f>IFERROR(INDEX(Starter!B:B,MATCH(B5,Starter!A:A,0)),"")</f>
        <v>Stibel, Blasius</v>
      </c>
      <c r="D5" s="108" t="str">
        <f>IFERROR(INDEX(Starter!C:C,MATCH(B5,Starter!A:A,0)),"")</f>
        <v>BC Castra Regina Regensburg</v>
      </c>
      <c r="E5" s="117">
        <f t="shared" ref="E5:E68" si="3">IFERROR(INDEX(M:M,MATCH(A5,P:P,0)),"")</f>
        <v>949</v>
      </c>
      <c r="F5" s="108">
        <f t="shared" ref="F5:F68" si="4">IFERROR(INDEX(N:N,MATCH(A5,P:P,0)),"")</f>
        <v>5</v>
      </c>
      <c r="G5" s="112">
        <f t="shared" ref="G5:G68" si="5">IFERROR(INDEX(O:O,MATCH(A5,P:P,0)),"")</f>
        <v>189.799999969</v>
      </c>
      <c r="L5" s="108">
        <f>INDEX(Starter!A:A,ROW()-1)</f>
        <v>7128</v>
      </c>
      <c r="M5" s="108">
        <f>SUMIF(Erfassung3!BD:BD,L5,Erfassung3!BS:BS)</f>
        <v>798</v>
      </c>
      <c r="N5" s="108">
        <f>SUMIF(Erfassung3!BD:BD,L5,Erfassung3!BG:BG)</f>
        <v>5</v>
      </c>
      <c r="O5" s="108">
        <f t="shared" si="0"/>
        <v>159.59999999499999</v>
      </c>
      <c r="P5" s="108">
        <f t="shared" si="1"/>
        <v>20</v>
      </c>
    </row>
    <row r="6" spans="1:16" x14ac:dyDescent="0.2">
      <c r="A6" s="108">
        <f t="shared" ref="A6:A69" si="6">IFERROR(IF(A5+1&gt;MAX(P:P)-1,"",A5+1),"")</f>
        <v>2</v>
      </c>
      <c r="B6" s="108">
        <f t="shared" si="2"/>
        <v>38260</v>
      </c>
      <c r="C6" s="108" t="str">
        <f>IFERROR(INDEX(Starter!B:B,MATCH(B6,Starter!A:A,0)),"")</f>
        <v>Zehendner, Lukas</v>
      </c>
      <c r="D6" s="108" t="str">
        <f>IFERROR(INDEX(Starter!C:C,MATCH(B6,Starter!A:A,0)),"")</f>
        <v>BC Castra Regina Regensburg</v>
      </c>
      <c r="E6" s="117">
        <f t="shared" si="3"/>
        <v>949</v>
      </c>
      <c r="F6" s="108">
        <f t="shared" si="4"/>
        <v>5</v>
      </c>
      <c r="G6" s="112">
        <f t="shared" si="5"/>
        <v>189.799999966</v>
      </c>
      <c r="L6" s="108">
        <f>INDEX(Starter!A:A,ROW()-1)</f>
        <v>38507</v>
      </c>
      <c r="M6" s="108">
        <f>SUMIF(Erfassung3!BD:BD,L6,Erfassung3!BS:BS)</f>
        <v>0</v>
      </c>
      <c r="N6" s="108">
        <f>SUMIF(Erfassung3!BD:BD,L6,Erfassung3!BG:BG)</f>
        <v>0</v>
      </c>
      <c r="O6" s="108">
        <f t="shared" si="0"/>
        <v>0</v>
      </c>
      <c r="P6" s="108">
        <f t="shared" si="1"/>
        <v>28</v>
      </c>
    </row>
    <row r="7" spans="1:16" x14ac:dyDescent="0.2">
      <c r="A7" s="108">
        <f t="shared" si="6"/>
        <v>3</v>
      </c>
      <c r="B7" s="108">
        <f t="shared" si="2"/>
        <v>38046</v>
      </c>
      <c r="C7" s="108" t="str">
        <f>IFERROR(INDEX(Starter!B:B,MATCH(B7,Starter!A:A,0)),"")</f>
        <v>Humbs, Martin</v>
      </c>
      <c r="D7" s="108" t="str">
        <f>IFERROR(INDEX(Starter!C:C,MATCH(B7,Starter!A:A,0)),"")</f>
        <v>BC Castra Regina Regensburg</v>
      </c>
      <c r="E7" s="117">
        <f t="shared" si="3"/>
        <v>944</v>
      </c>
      <c r="F7" s="108">
        <f t="shared" si="4"/>
        <v>5</v>
      </c>
      <c r="G7" s="112">
        <f t="shared" si="5"/>
        <v>188.79999997800002</v>
      </c>
      <c r="L7" s="108">
        <f>INDEX(Starter!A:A,ROW()-1)</f>
        <v>38115</v>
      </c>
      <c r="M7" s="108">
        <f>SUMIF(Erfassung3!BD:BD,L7,Erfassung3!BS:BS)</f>
        <v>0</v>
      </c>
      <c r="N7" s="108">
        <f>SUMIF(Erfassung3!BD:BD,L7,Erfassung3!BG:BG)</f>
        <v>0</v>
      </c>
      <c r="O7" s="108">
        <f t="shared" si="0"/>
        <v>0</v>
      </c>
      <c r="P7" s="108">
        <f t="shared" si="1"/>
        <v>28</v>
      </c>
    </row>
    <row r="8" spans="1:16" x14ac:dyDescent="0.2">
      <c r="A8" s="108">
        <f t="shared" si="6"/>
        <v>4</v>
      </c>
      <c r="B8" s="108">
        <f t="shared" si="2"/>
        <v>7761</v>
      </c>
      <c r="C8" s="108" t="str">
        <f>IFERROR(INDEX(Starter!B:B,MATCH(B8,Starter!A:A,0)),"")</f>
        <v>Schmitt, Peter</v>
      </c>
      <c r="D8" s="108" t="str">
        <f>IFERROR(INDEX(Starter!C:C,MATCH(B8,Starter!A:A,0)),"")</f>
        <v>BC Adler Nürnberg</v>
      </c>
      <c r="E8" s="117">
        <f t="shared" si="3"/>
        <v>931</v>
      </c>
      <c r="F8" s="108">
        <f t="shared" si="4"/>
        <v>5</v>
      </c>
      <c r="G8" s="112">
        <f t="shared" si="5"/>
        <v>186.19999996199999</v>
      </c>
      <c r="L8" s="108">
        <f>INDEX(Starter!A:A,ROW()-1)</f>
        <v>7586</v>
      </c>
      <c r="M8" s="108">
        <f>SUMIF(Erfassung3!BD:BD,L8,Erfassung3!BS:BS)</f>
        <v>899</v>
      </c>
      <c r="N8" s="108">
        <f>SUMIF(Erfassung3!BD:BD,L8,Erfassung3!BG:BG)</f>
        <v>5</v>
      </c>
      <c r="O8" s="108">
        <f t="shared" si="0"/>
        <v>179.79999999200001</v>
      </c>
      <c r="P8" s="108">
        <f t="shared" si="1"/>
        <v>6</v>
      </c>
    </row>
    <row r="9" spans="1:16" x14ac:dyDescent="0.2">
      <c r="A9" s="108">
        <f t="shared" si="6"/>
        <v>5</v>
      </c>
      <c r="B9" s="108">
        <f t="shared" si="2"/>
        <v>9936</v>
      </c>
      <c r="C9" s="108" t="str">
        <f>IFERROR(INDEX(Starter!B:B,MATCH(B9,Starter!A:A,0)),"")</f>
        <v>Fischer, Nick</v>
      </c>
      <c r="D9" s="108" t="str">
        <f>IFERROR(INDEX(Starter!C:C,MATCH(B9,Starter!A:A,0)),"")</f>
        <v>Kings Club Bayreuth</v>
      </c>
      <c r="E9" s="117">
        <f t="shared" si="3"/>
        <v>900</v>
      </c>
      <c r="F9" s="108">
        <f t="shared" si="4"/>
        <v>5</v>
      </c>
      <c r="G9" s="112">
        <f t="shared" si="5"/>
        <v>179.99999999100001</v>
      </c>
      <c r="L9" s="108">
        <f>INDEX(Starter!A:A,ROW()-1)</f>
        <v>9936</v>
      </c>
      <c r="M9" s="108">
        <f>SUMIF(Erfassung3!BD:BD,L9,Erfassung3!BS:BS)</f>
        <v>900</v>
      </c>
      <c r="N9" s="108">
        <f>SUMIF(Erfassung3!BD:BD,L9,Erfassung3!BG:BG)</f>
        <v>5</v>
      </c>
      <c r="O9" s="108">
        <f t="shared" si="0"/>
        <v>179.99999999100001</v>
      </c>
      <c r="P9" s="108">
        <f t="shared" si="1"/>
        <v>5</v>
      </c>
    </row>
    <row r="10" spans="1:16" x14ac:dyDescent="0.2">
      <c r="A10" s="108">
        <f t="shared" si="6"/>
        <v>6</v>
      </c>
      <c r="B10" s="108">
        <f t="shared" si="2"/>
        <v>7586</v>
      </c>
      <c r="C10" s="108" t="str">
        <f>IFERROR(INDEX(Starter!B:B,MATCH(B10,Starter!A:A,0)),"")</f>
        <v>Eichner, Karl</v>
      </c>
      <c r="D10" s="108" t="str">
        <f>IFERROR(INDEX(Starter!C:C,MATCH(B10,Starter!A:A,0)),"")</f>
        <v>Kings Club Bayreuth</v>
      </c>
      <c r="E10" s="117">
        <f t="shared" si="3"/>
        <v>899</v>
      </c>
      <c r="F10" s="108">
        <f t="shared" si="4"/>
        <v>5</v>
      </c>
      <c r="G10" s="112">
        <f t="shared" si="5"/>
        <v>179.79999999200001</v>
      </c>
      <c r="L10" s="108">
        <f>INDEX(Starter!A:A,ROW()-1)</f>
        <v>7135</v>
      </c>
      <c r="M10" s="108">
        <f>SUMIF(Erfassung3!BD:BD,L10,Erfassung3!BS:BS)</f>
        <v>0</v>
      </c>
      <c r="N10" s="108">
        <f>SUMIF(Erfassung3!BD:BD,L10,Erfassung3!BG:BG)</f>
        <v>0</v>
      </c>
      <c r="O10" s="108">
        <f t="shared" si="0"/>
        <v>0</v>
      </c>
      <c r="P10" s="108">
        <f t="shared" si="1"/>
        <v>28</v>
      </c>
    </row>
    <row r="11" spans="1:16" x14ac:dyDescent="0.2">
      <c r="A11" s="108">
        <f t="shared" si="6"/>
        <v>7</v>
      </c>
      <c r="B11" s="108">
        <f t="shared" si="2"/>
        <v>16707</v>
      </c>
      <c r="C11" s="108" t="str">
        <f>IFERROR(INDEX(Starter!B:B,MATCH(B11,Starter!A:A,0)),"")</f>
        <v>Beier, Thomas</v>
      </c>
      <c r="D11" s="108" t="str">
        <f>IFERROR(INDEX(Starter!C:C,MATCH(B11,Starter!A:A,0)),"")</f>
        <v>BC Adler Nürnberg</v>
      </c>
      <c r="E11" s="117">
        <f t="shared" si="3"/>
        <v>889</v>
      </c>
      <c r="F11" s="108">
        <f t="shared" si="4"/>
        <v>5</v>
      </c>
      <c r="G11" s="112">
        <f t="shared" si="5"/>
        <v>177.799999958</v>
      </c>
      <c r="L11" s="108">
        <f>INDEX(Starter!A:A,ROW()-1)</f>
        <v>38367</v>
      </c>
      <c r="M11" s="108">
        <f>SUMIF(Erfassung3!BD:BD,L11,Erfassung3!BS:BS)</f>
        <v>0</v>
      </c>
      <c r="N11" s="108">
        <f>SUMIF(Erfassung3!BD:BD,L11,Erfassung3!BG:BG)</f>
        <v>0</v>
      </c>
      <c r="O11" s="108">
        <f t="shared" si="0"/>
        <v>0</v>
      </c>
      <c r="P11" s="108">
        <f t="shared" si="1"/>
        <v>28</v>
      </c>
    </row>
    <row r="12" spans="1:16" x14ac:dyDescent="0.2">
      <c r="A12" s="108">
        <f t="shared" si="6"/>
        <v>8</v>
      </c>
      <c r="B12" s="108">
        <f t="shared" si="2"/>
        <v>7813</v>
      </c>
      <c r="C12" s="108" t="str">
        <f>IFERROR(INDEX(Starter!B:B,MATCH(B12,Starter!A:A,0)),"")</f>
        <v>Walzer, Peter</v>
      </c>
      <c r="D12" s="108" t="str">
        <f>IFERROR(INDEX(Starter!C:C,MATCH(B12,Starter!A:A,0)),"")</f>
        <v>BC Castra Regina Regensburg</v>
      </c>
      <c r="E12" s="117">
        <f t="shared" si="3"/>
        <v>888</v>
      </c>
      <c r="F12" s="108">
        <f t="shared" si="4"/>
        <v>5</v>
      </c>
      <c r="G12" s="112">
        <f t="shared" si="5"/>
        <v>177.599999973</v>
      </c>
      <c r="L12" s="108">
        <f>INDEX(Starter!A:A,ROW()-1)</f>
        <v>38152</v>
      </c>
      <c r="M12" s="108">
        <f>SUMIF(Erfassung3!BD:BD,L12,Erfassung3!BS:BS)</f>
        <v>0</v>
      </c>
      <c r="N12" s="108">
        <f>SUMIF(Erfassung3!BD:BD,L12,Erfassung3!BG:BG)</f>
        <v>0</v>
      </c>
      <c r="O12" s="108">
        <f t="shared" si="0"/>
        <v>0</v>
      </c>
      <c r="P12" s="108">
        <f t="shared" si="1"/>
        <v>28</v>
      </c>
    </row>
    <row r="13" spans="1:16" x14ac:dyDescent="0.2">
      <c r="A13" s="108">
        <f t="shared" si="6"/>
        <v>9</v>
      </c>
      <c r="B13" s="108">
        <f t="shared" si="2"/>
        <v>25378</v>
      </c>
      <c r="C13" s="108" t="str">
        <f>IFERROR(INDEX(Starter!B:B,MATCH(B13,Starter!A:A,0)),"")</f>
        <v>Arnold, Nadine</v>
      </c>
      <c r="D13" s="108" t="str">
        <f>IFERROR(INDEX(Starter!C:C,MATCH(B13,Starter!A:A,0)),"")</f>
        <v>BC Herzogenaurach</v>
      </c>
      <c r="E13" s="117">
        <f t="shared" si="3"/>
        <v>881</v>
      </c>
      <c r="F13" s="108">
        <f t="shared" si="4"/>
        <v>5</v>
      </c>
      <c r="G13" s="112">
        <f t="shared" si="5"/>
        <v>176.19999998099999</v>
      </c>
      <c r="L13" s="108">
        <f>INDEX(Starter!A:A,ROW()-1)</f>
        <v>25007</v>
      </c>
      <c r="M13" s="108">
        <f>SUMIF(Erfassung3!BD:BD,L13,Erfassung3!BS:BS)</f>
        <v>0</v>
      </c>
      <c r="N13" s="108">
        <f>SUMIF(Erfassung3!BD:BD,L13,Erfassung3!BG:BG)</f>
        <v>0</v>
      </c>
      <c r="O13" s="108">
        <f t="shared" si="0"/>
        <v>0</v>
      </c>
      <c r="P13" s="108">
        <f t="shared" si="1"/>
        <v>28</v>
      </c>
    </row>
    <row r="14" spans="1:16" x14ac:dyDescent="0.2">
      <c r="A14" s="108">
        <f t="shared" si="6"/>
        <v>10</v>
      </c>
      <c r="B14" s="108">
        <f t="shared" si="2"/>
        <v>25895</v>
      </c>
      <c r="C14" s="108" t="str">
        <f>IFERROR(INDEX(Starter!B:B,MATCH(B14,Starter!A:A,0)),"")</f>
        <v>Gilch, Stefan</v>
      </c>
      <c r="D14" s="108" t="str">
        <f>IFERROR(INDEX(Starter!C:C,MATCH(B14,Starter!A:A,0)),"")</f>
        <v>BC Castra Regina Regensburg</v>
      </c>
      <c r="E14" s="117">
        <f t="shared" si="3"/>
        <v>527</v>
      </c>
      <c r="F14" s="108">
        <f t="shared" si="4"/>
        <v>3</v>
      </c>
      <c r="G14" s="112">
        <f t="shared" si="5"/>
        <v>175.66666663366667</v>
      </c>
      <c r="L14" s="108">
        <f>INDEX(Starter!A:A,ROW()-1)</f>
        <v>38661</v>
      </c>
      <c r="M14" s="108">
        <f>SUMIF(Erfassung3!BD:BD,L14,Erfassung3!BS:BS)</f>
        <v>807</v>
      </c>
      <c r="N14" s="108">
        <f>SUMIF(Erfassung3!BD:BD,L14,Erfassung3!BG:BG)</f>
        <v>5</v>
      </c>
      <c r="O14" s="108">
        <f t="shared" si="0"/>
        <v>161.39999998600001</v>
      </c>
      <c r="P14" s="108">
        <f t="shared" si="1"/>
        <v>18</v>
      </c>
    </row>
    <row r="15" spans="1:16" x14ac:dyDescent="0.2">
      <c r="A15" s="108">
        <f t="shared" si="6"/>
        <v>11</v>
      </c>
      <c r="B15" s="108">
        <f t="shared" si="2"/>
        <v>7282</v>
      </c>
      <c r="C15" s="108" t="str">
        <f>IFERROR(INDEX(Starter!B:B,MATCH(B15,Starter!A:A,0)),"")</f>
        <v>Voss, Horst</v>
      </c>
      <c r="D15" s="108" t="str">
        <f>IFERROR(INDEX(Starter!C:C,MATCH(B15,Starter!A:A,0)),"")</f>
        <v>BC Herzogenaurach</v>
      </c>
      <c r="E15" s="117">
        <f t="shared" si="3"/>
        <v>526</v>
      </c>
      <c r="F15" s="108">
        <f t="shared" si="4"/>
        <v>3</v>
      </c>
      <c r="G15" s="112">
        <f t="shared" si="5"/>
        <v>175.33333331533333</v>
      </c>
      <c r="L15" s="108">
        <f>INDEX(Starter!A:A,ROW()-1)</f>
        <v>34393</v>
      </c>
      <c r="M15" s="108">
        <f>SUMIF(Erfassung3!BD:BD,L15,Erfassung3!BS:BS)</f>
        <v>0</v>
      </c>
      <c r="N15" s="108">
        <f>SUMIF(Erfassung3!BD:BD,L15,Erfassung3!BG:BG)</f>
        <v>0</v>
      </c>
      <c r="O15" s="108">
        <f t="shared" si="0"/>
        <v>0</v>
      </c>
      <c r="P15" s="108">
        <f t="shared" si="1"/>
        <v>28</v>
      </c>
    </row>
    <row r="16" spans="1:16" x14ac:dyDescent="0.2">
      <c r="A16" s="108">
        <f t="shared" si="6"/>
        <v>12</v>
      </c>
      <c r="B16" s="108">
        <f t="shared" si="2"/>
        <v>7286</v>
      </c>
      <c r="C16" s="108" t="str">
        <f>IFERROR(INDEX(Starter!B:B,MATCH(B16,Starter!A:A,0)),"")</f>
        <v>Meier, Peter</v>
      </c>
      <c r="D16" s="108" t="str">
        <f>IFERROR(INDEX(Starter!C:C,MATCH(B16,Starter!A:A,0)),"")</f>
        <v>BC Herzogenaurach</v>
      </c>
      <c r="E16" s="117">
        <f t="shared" si="3"/>
        <v>349</v>
      </c>
      <c r="F16" s="108">
        <f t="shared" si="4"/>
        <v>2</v>
      </c>
      <c r="G16" s="112">
        <f t="shared" si="5"/>
        <v>174.49999998000001</v>
      </c>
      <c r="L16" s="108">
        <f>INDEX(Starter!A:A,ROW()-1)</f>
        <v>38823</v>
      </c>
      <c r="M16" s="108">
        <f>SUMIF(Erfassung3!BD:BD,L16,Erfassung3!BS:BS)</f>
        <v>823</v>
      </c>
      <c r="N16" s="108">
        <f>SUMIF(Erfassung3!BD:BD,L16,Erfassung3!BG:BG)</f>
        <v>5</v>
      </c>
      <c r="O16" s="108">
        <f t="shared" si="0"/>
        <v>164.59999998399999</v>
      </c>
      <c r="P16" s="108">
        <f t="shared" si="1"/>
        <v>17</v>
      </c>
    </row>
    <row r="17" spans="1:16" x14ac:dyDescent="0.2">
      <c r="A17" s="108">
        <f t="shared" si="6"/>
        <v>13</v>
      </c>
      <c r="B17" s="108">
        <f t="shared" si="2"/>
        <v>25760</v>
      </c>
      <c r="C17" s="108" t="str">
        <f>IFERROR(INDEX(Starter!B:B,MATCH(B17,Starter!A:A,0)),"")</f>
        <v>Inkermann, Matthias</v>
      </c>
      <c r="D17" s="108" t="str">
        <f>IFERROR(INDEX(Starter!C:C,MATCH(B17,Starter!A:A,0)),"")</f>
        <v>BC Herzogenaurach</v>
      </c>
      <c r="E17" s="117">
        <f t="shared" si="3"/>
        <v>865</v>
      </c>
      <c r="F17" s="108">
        <f t="shared" si="4"/>
        <v>5</v>
      </c>
      <c r="G17" s="112">
        <f t="shared" si="5"/>
        <v>172.999999957</v>
      </c>
      <c r="L17" s="108">
        <f>INDEX(Starter!A:A,ROW()-1)</f>
        <v>38509</v>
      </c>
      <c r="M17" s="108">
        <f>SUMIF(Erfassung3!BD:BD,L17,Erfassung3!BS:BS)</f>
        <v>756</v>
      </c>
      <c r="N17" s="108">
        <f>SUMIF(Erfassung3!BD:BD,L17,Erfassung3!BG:BG)</f>
        <v>5</v>
      </c>
      <c r="O17" s="108">
        <f t="shared" si="0"/>
        <v>151.199999983</v>
      </c>
      <c r="P17" s="108">
        <f t="shared" si="1"/>
        <v>23</v>
      </c>
    </row>
    <row r="18" spans="1:16" x14ac:dyDescent="0.2">
      <c r="A18" s="108">
        <f t="shared" si="6"/>
        <v>14</v>
      </c>
      <c r="B18" s="108">
        <f t="shared" si="2"/>
        <v>25811</v>
      </c>
      <c r="C18" s="108" t="str">
        <f>IFERROR(INDEX(Starter!B:B,MATCH(B18,Starter!A:A,0)),"")</f>
        <v>Schmelzl, Werner</v>
      </c>
      <c r="D18" s="108" t="str">
        <f>IFERROR(INDEX(Starter!C:C,MATCH(B18,Starter!A:A,0)),"")</f>
        <v>BC Adler Nürnberg</v>
      </c>
      <c r="E18" s="117">
        <f t="shared" si="3"/>
        <v>855</v>
      </c>
      <c r="F18" s="108">
        <f t="shared" si="4"/>
        <v>5</v>
      </c>
      <c r="G18" s="112">
        <f t="shared" si="5"/>
        <v>170.99999996</v>
      </c>
      <c r="L18" s="108">
        <f>INDEX(Starter!A:A,ROW()-1)</f>
        <v>7282</v>
      </c>
      <c r="M18" s="108">
        <f>SUMIF(Erfassung3!BD:BD,L18,Erfassung3!BS:BS)</f>
        <v>526</v>
      </c>
      <c r="N18" s="108">
        <f>SUMIF(Erfassung3!BD:BD,L18,Erfassung3!BG:BG)</f>
        <v>3</v>
      </c>
      <c r="O18" s="108">
        <f t="shared" si="0"/>
        <v>175.33333331533333</v>
      </c>
      <c r="P18" s="108">
        <f t="shared" si="1"/>
        <v>11</v>
      </c>
    </row>
    <row r="19" spans="1:16" x14ac:dyDescent="0.2">
      <c r="A19" s="108">
        <f t="shared" si="6"/>
        <v>15</v>
      </c>
      <c r="B19" s="108">
        <f t="shared" si="2"/>
        <v>7283</v>
      </c>
      <c r="C19" s="108" t="str">
        <f>IFERROR(INDEX(Starter!B:B,MATCH(B19,Starter!A:A,0)),"")</f>
        <v>Pichl, Jürgen</v>
      </c>
      <c r="D19" s="108" t="str">
        <f>IFERROR(INDEX(Starter!C:C,MATCH(B19,Starter!A:A,0)),"")</f>
        <v>BC Herzogenaurach</v>
      </c>
      <c r="E19" s="117">
        <f t="shared" si="3"/>
        <v>850</v>
      </c>
      <c r="F19" s="108">
        <f t="shared" si="4"/>
        <v>5</v>
      </c>
      <c r="G19" s="112">
        <f t="shared" si="5"/>
        <v>169.99999997899999</v>
      </c>
      <c r="L19" s="108">
        <f>INDEX(Starter!A:A,ROW()-1)</f>
        <v>25378</v>
      </c>
      <c r="M19" s="108">
        <f>SUMIF(Erfassung3!BD:BD,L19,Erfassung3!BS:BS)</f>
        <v>881</v>
      </c>
      <c r="N19" s="108">
        <f>SUMIF(Erfassung3!BD:BD,L19,Erfassung3!BG:BG)</f>
        <v>5</v>
      </c>
      <c r="O19" s="108">
        <f t="shared" si="0"/>
        <v>176.19999998099999</v>
      </c>
      <c r="P19" s="108">
        <f t="shared" si="1"/>
        <v>9</v>
      </c>
    </row>
    <row r="20" spans="1:16" x14ac:dyDescent="0.2">
      <c r="A20" s="108">
        <f t="shared" si="6"/>
        <v>16</v>
      </c>
      <c r="B20" s="108">
        <f t="shared" si="2"/>
        <v>7714</v>
      </c>
      <c r="C20" s="108" t="str">
        <f>IFERROR(INDEX(Starter!B:B,MATCH(B20,Starter!A:A,0)),"")</f>
        <v>Doßler, Thomas</v>
      </c>
      <c r="D20" s="108" t="str">
        <f>IFERROR(INDEX(Starter!C:C,MATCH(B20,Starter!A:A,0)),"")</f>
        <v>BC Adler Nürnberg</v>
      </c>
      <c r="E20" s="117">
        <f t="shared" si="3"/>
        <v>838</v>
      </c>
      <c r="F20" s="108">
        <f t="shared" si="4"/>
        <v>5</v>
      </c>
      <c r="G20" s="112">
        <f t="shared" si="5"/>
        <v>167.59999996099998</v>
      </c>
      <c r="L20" s="108">
        <f>INDEX(Starter!A:A,ROW()-1)</f>
        <v>7286</v>
      </c>
      <c r="M20" s="108">
        <f>SUMIF(Erfassung3!BD:BD,L20,Erfassung3!BS:BS)</f>
        <v>349</v>
      </c>
      <c r="N20" s="108">
        <f>SUMIF(Erfassung3!BD:BD,L20,Erfassung3!BG:BG)</f>
        <v>2</v>
      </c>
      <c r="O20" s="108">
        <f t="shared" si="0"/>
        <v>174.49999998000001</v>
      </c>
      <c r="P20" s="108">
        <f t="shared" si="1"/>
        <v>12</v>
      </c>
    </row>
    <row r="21" spans="1:16" x14ac:dyDescent="0.2">
      <c r="A21" s="108">
        <f t="shared" si="6"/>
        <v>17</v>
      </c>
      <c r="B21" s="108">
        <f t="shared" si="2"/>
        <v>38823</v>
      </c>
      <c r="C21" s="108" t="str">
        <f>IFERROR(INDEX(Starter!B:B,MATCH(B21,Starter!A:A,0)),"")</f>
        <v>Sommerer, Stefan</v>
      </c>
      <c r="D21" s="108" t="str">
        <f>IFERROR(INDEX(Starter!C:C,MATCH(B21,Starter!A:A,0)),"")</f>
        <v>Kings Club Bayreuth</v>
      </c>
      <c r="E21" s="117">
        <f t="shared" si="3"/>
        <v>823</v>
      </c>
      <c r="F21" s="108">
        <f t="shared" si="4"/>
        <v>5</v>
      </c>
      <c r="G21" s="112">
        <f t="shared" si="5"/>
        <v>164.59999998399999</v>
      </c>
      <c r="L21" s="108">
        <f>INDEX(Starter!A:A,ROW()-1)</f>
        <v>7283</v>
      </c>
      <c r="M21" s="108">
        <f>SUMIF(Erfassung3!BD:BD,L21,Erfassung3!BS:BS)</f>
        <v>850</v>
      </c>
      <c r="N21" s="108">
        <f>SUMIF(Erfassung3!BD:BD,L21,Erfassung3!BG:BG)</f>
        <v>5</v>
      </c>
      <c r="O21" s="108">
        <f t="shared" si="0"/>
        <v>169.99999997899999</v>
      </c>
      <c r="P21" s="108">
        <f t="shared" si="1"/>
        <v>15</v>
      </c>
    </row>
    <row r="22" spans="1:16" x14ac:dyDescent="0.2">
      <c r="A22" s="108">
        <f t="shared" si="6"/>
        <v>18</v>
      </c>
      <c r="B22" s="108">
        <f t="shared" si="2"/>
        <v>38661</v>
      </c>
      <c r="C22" s="108" t="str">
        <f>IFERROR(INDEX(Starter!B:B,MATCH(B22,Starter!A:A,0)),"")</f>
        <v>Katholing, Jürgen</v>
      </c>
      <c r="D22" s="108" t="str">
        <f>IFERROR(INDEX(Starter!C:C,MATCH(B22,Starter!A:A,0)),"")</f>
        <v>Kings Club Bayreuth</v>
      </c>
      <c r="E22" s="117">
        <f t="shared" si="3"/>
        <v>807</v>
      </c>
      <c r="F22" s="108">
        <f t="shared" si="4"/>
        <v>5</v>
      </c>
      <c r="G22" s="112">
        <f t="shared" si="5"/>
        <v>161.39999998600001</v>
      </c>
      <c r="L22" s="108">
        <f>INDEX(Starter!A:A,ROW()-1)</f>
        <v>38046</v>
      </c>
      <c r="M22" s="108">
        <f>SUMIF(Erfassung3!BD:BD,L22,Erfassung3!BS:BS)</f>
        <v>944</v>
      </c>
      <c r="N22" s="108">
        <f>SUMIF(Erfassung3!BD:BD,L22,Erfassung3!BG:BG)</f>
        <v>5</v>
      </c>
      <c r="O22" s="108">
        <f t="shared" si="0"/>
        <v>188.79999997800002</v>
      </c>
      <c r="P22" s="108">
        <f t="shared" si="1"/>
        <v>3</v>
      </c>
    </row>
    <row r="23" spans="1:16" x14ac:dyDescent="0.2">
      <c r="A23" s="108">
        <f t="shared" si="6"/>
        <v>19</v>
      </c>
      <c r="B23" s="108">
        <f t="shared" si="2"/>
        <v>38570</v>
      </c>
      <c r="C23" s="108" t="str">
        <f>IFERROR(INDEX(Starter!B:B,MATCH(B23,Starter!A:A,0)),"")</f>
        <v>Bothe, Willi</v>
      </c>
      <c r="D23" s="108" t="str">
        <f>IFERROR(INDEX(Starter!C:C,MATCH(B23,Starter!A:A,0)),"")</f>
        <v>BC Castra Regina Regensburg</v>
      </c>
      <c r="E23" s="117">
        <f t="shared" si="3"/>
        <v>807</v>
      </c>
      <c r="F23" s="108">
        <f t="shared" si="4"/>
        <v>5</v>
      </c>
      <c r="G23" s="112">
        <f t="shared" si="5"/>
        <v>161.39999996500001</v>
      </c>
      <c r="L23" s="108">
        <f>INDEX(Starter!A:A,ROW()-1)</f>
        <v>38571</v>
      </c>
      <c r="M23" s="108">
        <f>SUMIF(Erfassung3!BD:BD,L23,Erfassung3!BS:BS)</f>
        <v>0</v>
      </c>
      <c r="N23" s="108">
        <f>SUMIF(Erfassung3!BD:BD,L23,Erfassung3!BG:BG)</f>
        <v>0</v>
      </c>
      <c r="O23" s="108">
        <f t="shared" si="0"/>
        <v>0</v>
      </c>
      <c r="P23" s="108">
        <f t="shared" si="1"/>
        <v>28</v>
      </c>
    </row>
    <row r="24" spans="1:16" x14ac:dyDescent="0.2">
      <c r="A24" s="108">
        <f t="shared" si="6"/>
        <v>20</v>
      </c>
      <c r="B24" s="108">
        <f t="shared" si="2"/>
        <v>7128</v>
      </c>
      <c r="C24" s="108" t="str">
        <f>IFERROR(INDEX(Starter!B:B,MATCH(B24,Starter!A:A,0)),"")</f>
        <v>Wallner, Harald</v>
      </c>
      <c r="D24" s="108" t="str">
        <f>IFERROR(INDEX(Starter!C:C,MATCH(B24,Starter!A:A,0)),"")</f>
        <v>Kings Club Bayreuth</v>
      </c>
      <c r="E24" s="117">
        <f t="shared" si="3"/>
        <v>798</v>
      </c>
      <c r="F24" s="108">
        <f t="shared" si="4"/>
        <v>5</v>
      </c>
      <c r="G24" s="112">
        <f t="shared" si="5"/>
        <v>159.59999999499999</v>
      </c>
      <c r="L24" s="108">
        <f>INDEX(Starter!A:A,ROW()-1)</f>
        <v>38870</v>
      </c>
      <c r="M24" s="108">
        <f>SUMIF(Erfassung3!BD:BD,L24,Erfassung3!BS:BS)</f>
        <v>719</v>
      </c>
      <c r="N24" s="108">
        <f>SUMIF(Erfassung3!BD:BD,L24,Erfassung3!BG:BG)</f>
        <v>5</v>
      </c>
      <c r="O24" s="108">
        <f t="shared" si="0"/>
        <v>143.79999997600001</v>
      </c>
      <c r="P24" s="108">
        <f t="shared" si="1"/>
        <v>27</v>
      </c>
    </row>
    <row r="25" spans="1:16" x14ac:dyDescent="0.2">
      <c r="A25" s="108">
        <f t="shared" si="6"/>
        <v>21</v>
      </c>
      <c r="B25" s="108">
        <f t="shared" si="2"/>
        <v>7809</v>
      </c>
      <c r="C25" s="108" t="str">
        <f>IFERROR(INDEX(Starter!B:B,MATCH(B25,Starter!A:A,0)),"")</f>
        <v>Graml, Christian</v>
      </c>
      <c r="D25" s="108" t="str">
        <f>IFERROR(INDEX(Starter!C:C,MATCH(B25,Starter!A:A,0)),"")</f>
        <v>BC Castra Regina Regensburg</v>
      </c>
      <c r="E25" s="117">
        <f t="shared" si="3"/>
        <v>313</v>
      </c>
      <c r="F25" s="108">
        <f t="shared" si="4"/>
        <v>2</v>
      </c>
      <c r="G25" s="112">
        <f t="shared" si="5"/>
        <v>156.49999997500001</v>
      </c>
      <c r="L25" s="108">
        <f>INDEX(Starter!A:A,ROW()-1)</f>
        <v>7809</v>
      </c>
      <c r="M25" s="108">
        <f>SUMIF(Erfassung3!BD:BD,L25,Erfassung3!BS:BS)</f>
        <v>313</v>
      </c>
      <c r="N25" s="108">
        <f>SUMIF(Erfassung3!BD:BD,L25,Erfassung3!BG:BG)</f>
        <v>2</v>
      </c>
      <c r="O25" s="108">
        <f t="shared" si="0"/>
        <v>156.49999997500001</v>
      </c>
      <c r="P25" s="108">
        <f t="shared" si="1"/>
        <v>21</v>
      </c>
    </row>
    <row r="26" spans="1:16" x14ac:dyDescent="0.2">
      <c r="A26" s="108">
        <f t="shared" si="6"/>
        <v>22</v>
      </c>
      <c r="B26" s="108">
        <f t="shared" si="2"/>
        <v>7136</v>
      </c>
      <c r="C26" s="108" t="str">
        <f>IFERROR(INDEX(Starter!B:B,MATCH(B26,Starter!A:A,0)),"")</f>
        <v>Rühr, Wilfried</v>
      </c>
      <c r="D26" s="108" t="str">
        <f>IFERROR(INDEX(Starter!C:C,MATCH(B26,Starter!A:A,0)),"")</f>
        <v>Kings Club Bayreuth</v>
      </c>
      <c r="E26" s="117">
        <f t="shared" si="3"/>
        <v>778</v>
      </c>
      <c r="F26" s="108">
        <f t="shared" si="4"/>
        <v>5</v>
      </c>
      <c r="G26" s="112">
        <f t="shared" si="5"/>
        <v>155.59999999799999</v>
      </c>
      <c r="L26" s="108">
        <f>INDEX(Starter!A:A,ROW()-1)</f>
        <v>7814</v>
      </c>
      <c r="M26" s="108">
        <f>SUMIF(Erfassung3!BD:BD,L26,Erfassung3!BS:BS)</f>
        <v>0</v>
      </c>
      <c r="N26" s="108">
        <f>SUMIF(Erfassung3!BD:BD,L26,Erfassung3!BG:BG)</f>
        <v>0</v>
      </c>
      <c r="O26" s="108">
        <f t="shared" si="0"/>
        <v>0</v>
      </c>
      <c r="P26" s="108">
        <f t="shared" si="1"/>
        <v>28</v>
      </c>
    </row>
    <row r="27" spans="1:16" x14ac:dyDescent="0.2">
      <c r="A27" s="108">
        <f t="shared" si="6"/>
        <v>23</v>
      </c>
      <c r="B27" s="108">
        <f t="shared" si="2"/>
        <v>38509</v>
      </c>
      <c r="C27" s="108" t="str">
        <f>IFERROR(INDEX(Starter!B:B,MATCH(B27,Starter!A:A,0)),"")</f>
        <v>Zahiri, Ali</v>
      </c>
      <c r="D27" s="108" t="str">
        <f>IFERROR(INDEX(Starter!C:C,MATCH(B27,Starter!A:A,0)),"")</f>
        <v>Kings Club Bayreuth</v>
      </c>
      <c r="E27" s="117">
        <f t="shared" si="3"/>
        <v>756</v>
      </c>
      <c r="F27" s="108">
        <f t="shared" si="4"/>
        <v>5</v>
      </c>
      <c r="G27" s="112">
        <f t="shared" si="5"/>
        <v>151.199999983</v>
      </c>
      <c r="L27" s="108">
        <f>INDEX(Starter!A:A,ROW()-1)</f>
        <v>7813</v>
      </c>
      <c r="M27" s="108">
        <f>SUMIF(Erfassung3!BD:BD,L27,Erfassung3!BS:BS)</f>
        <v>888</v>
      </c>
      <c r="N27" s="108">
        <f>SUMIF(Erfassung3!BD:BD,L27,Erfassung3!BG:BG)</f>
        <v>5</v>
      </c>
      <c r="O27" s="108">
        <f t="shared" si="0"/>
        <v>177.599999973</v>
      </c>
      <c r="P27" s="108">
        <f t="shared" si="1"/>
        <v>8</v>
      </c>
    </row>
    <row r="28" spans="1:16" x14ac:dyDescent="0.2">
      <c r="A28" s="108">
        <f t="shared" si="6"/>
        <v>24</v>
      </c>
      <c r="B28" s="108">
        <f t="shared" si="2"/>
        <v>7123</v>
      </c>
      <c r="C28" s="108" t="str">
        <f>IFERROR(INDEX(Starter!B:B,MATCH(B28,Starter!A:A,0)),"")</f>
        <v>Reichert, Roland</v>
      </c>
      <c r="D28" s="108" t="str">
        <f>IFERROR(INDEX(Starter!C:C,MATCH(B28,Starter!A:A,0)),"")</f>
        <v>Kings Club Bayreuth</v>
      </c>
      <c r="E28" s="117">
        <f t="shared" si="3"/>
        <v>754</v>
      </c>
      <c r="F28" s="108">
        <f t="shared" si="4"/>
        <v>5</v>
      </c>
      <c r="G28" s="112">
        <f t="shared" si="5"/>
        <v>150.79999999700001</v>
      </c>
      <c r="L28" s="108">
        <f>INDEX(Starter!A:A,ROW()-1)</f>
        <v>7730</v>
      </c>
      <c r="M28" s="108">
        <f>SUMIF(Erfassung3!BD:BD,L28,Erfassung3!BS:BS)</f>
        <v>0</v>
      </c>
      <c r="N28" s="108">
        <f>SUMIF(Erfassung3!BD:BD,L28,Erfassung3!BG:BG)</f>
        <v>0</v>
      </c>
      <c r="O28" s="108">
        <f t="shared" si="0"/>
        <v>0</v>
      </c>
      <c r="P28" s="108">
        <f t="shared" si="1"/>
        <v>28</v>
      </c>
    </row>
    <row r="29" spans="1:16" x14ac:dyDescent="0.2">
      <c r="A29" s="108">
        <f t="shared" si="6"/>
        <v>25</v>
      </c>
      <c r="B29" s="108">
        <f t="shared" si="2"/>
        <v>38869</v>
      </c>
      <c r="C29" s="108" t="str">
        <f>IFERROR(INDEX(Starter!B:B,MATCH(B29,Starter!A:A,0)),"")</f>
        <v>Simon, Diana</v>
      </c>
      <c r="D29" s="108" t="str">
        <f>IFERROR(INDEX(Starter!C:C,MATCH(B29,Starter!A:A,0)),"")</f>
        <v>BC Castra Regina Regensburg</v>
      </c>
      <c r="E29" s="117">
        <f t="shared" si="3"/>
        <v>434</v>
      </c>
      <c r="F29" s="108">
        <f t="shared" si="4"/>
        <v>3</v>
      </c>
      <c r="G29" s="112">
        <f t="shared" si="5"/>
        <v>144.66666663466665</v>
      </c>
      <c r="L29" s="108">
        <f>INDEX(Starter!A:A,ROW()-1)</f>
        <v>25130</v>
      </c>
      <c r="M29" s="108">
        <f>SUMIF(Erfassung3!BD:BD,L29,Erfassung3!BS:BS)</f>
        <v>289</v>
      </c>
      <c r="N29" s="108">
        <f>SUMIF(Erfassung3!BD:BD,L29,Erfassung3!BG:BG)</f>
        <v>2</v>
      </c>
      <c r="O29" s="108">
        <f t="shared" si="0"/>
        <v>144.49999997099999</v>
      </c>
      <c r="P29" s="108">
        <f t="shared" si="1"/>
        <v>26</v>
      </c>
    </row>
    <row r="30" spans="1:16" x14ac:dyDescent="0.2">
      <c r="A30" s="108">
        <f t="shared" si="6"/>
        <v>26</v>
      </c>
      <c r="B30" s="108">
        <f t="shared" si="2"/>
        <v>25130</v>
      </c>
      <c r="C30" s="108" t="str">
        <f>IFERROR(INDEX(Starter!B:B,MATCH(B30,Starter!A:A,0)),"")</f>
        <v>Aumeier, Bernhard</v>
      </c>
      <c r="D30" s="108" t="str">
        <f>IFERROR(INDEX(Starter!C:C,MATCH(B30,Starter!A:A,0)),"")</f>
        <v>BC Castra Regina Regensburg</v>
      </c>
      <c r="E30" s="117">
        <f t="shared" si="3"/>
        <v>289</v>
      </c>
      <c r="F30" s="108">
        <f t="shared" si="4"/>
        <v>2</v>
      </c>
      <c r="G30" s="112">
        <f t="shared" si="5"/>
        <v>144.49999997099999</v>
      </c>
      <c r="L30" s="108">
        <f>INDEX(Starter!A:A,ROW()-1)</f>
        <v>7854</v>
      </c>
      <c r="M30" s="108">
        <f>SUMIF(Erfassung3!BD:BD,L30,Erfassung3!BS:BS)</f>
        <v>0</v>
      </c>
      <c r="N30" s="108">
        <f>SUMIF(Erfassung3!BD:BD,L30,Erfassung3!BG:BG)</f>
        <v>0</v>
      </c>
      <c r="O30" s="108">
        <f t="shared" si="0"/>
        <v>0</v>
      </c>
      <c r="P30" s="108">
        <f t="shared" si="1"/>
        <v>28</v>
      </c>
    </row>
    <row r="31" spans="1:16" x14ac:dyDescent="0.2">
      <c r="A31" s="108">
        <f t="shared" si="6"/>
        <v>27</v>
      </c>
      <c r="B31" s="108">
        <f t="shared" si="2"/>
        <v>38870</v>
      </c>
      <c r="C31" s="108" t="str">
        <f>IFERROR(INDEX(Starter!B:B,MATCH(B31,Starter!A:A,0)),"")</f>
        <v>Martin, Dennis</v>
      </c>
      <c r="D31" s="108" t="str">
        <f>IFERROR(INDEX(Starter!C:C,MATCH(B31,Starter!A:A,0)),"")</f>
        <v>BC Castra Regina Regensburg</v>
      </c>
      <c r="E31" s="117">
        <f t="shared" si="3"/>
        <v>719</v>
      </c>
      <c r="F31" s="108">
        <f t="shared" si="4"/>
        <v>5</v>
      </c>
      <c r="G31" s="112">
        <f t="shared" si="5"/>
        <v>143.79999997600001</v>
      </c>
      <c r="L31" s="108">
        <f>INDEX(Starter!A:A,ROW()-1)</f>
        <v>7849</v>
      </c>
      <c r="M31" s="108">
        <f>SUMIF(Erfassung3!BD:BD,L31,Erfassung3!BS:BS)</f>
        <v>949</v>
      </c>
      <c r="N31" s="108">
        <f>SUMIF(Erfassung3!BD:BD,L31,Erfassung3!BG:BG)</f>
        <v>5</v>
      </c>
      <c r="O31" s="108">
        <f t="shared" si="0"/>
        <v>189.799999969</v>
      </c>
      <c r="P31" s="108">
        <f t="shared" si="1"/>
        <v>1</v>
      </c>
    </row>
    <row r="32" spans="1:16" x14ac:dyDescent="0.2">
      <c r="A32" s="108" t="str">
        <f t="shared" si="6"/>
        <v/>
      </c>
      <c r="B32" s="108" t="str">
        <f t="shared" si="2"/>
        <v/>
      </c>
      <c r="C32" s="108" t="str">
        <f>IFERROR(INDEX(Starter!B:B,MATCH(B32,Starter!A:A,0)),"")</f>
        <v/>
      </c>
      <c r="D32" s="108" t="str">
        <f>IFERROR(INDEX(Starter!C:C,MATCH(B32,Starter!A:A,0)),"")</f>
        <v/>
      </c>
      <c r="E32" s="117" t="str">
        <f t="shared" si="3"/>
        <v/>
      </c>
      <c r="F32" s="108" t="str">
        <f t="shared" si="4"/>
        <v/>
      </c>
      <c r="G32" s="112" t="str">
        <f t="shared" si="5"/>
        <v/>
      </c>
      <c r="L32" s="108">
        <f>INDEX(Starter!A:A,ROW()-1)</f>
        <v>38869</v>
      </c>
      <c r="M32" s="108">
        <f>SUMIF(Erfassung3!BD:BD,L32,Erfassung3!BS:BS)</f>
        <v>434</v>
      </c>
      <c r="N32" s="108">
        <f>SUMIF(Erfassung3!BD:BD,L32,Erfassung3!BG:BG)</f>
        <v>3</v>
      </c>
      <c r="O32" s="108">
        <f t="shared" si="0"/>
        <v>144.66666663466665</v>
      </c>
      <c r="P32" s="108">
        <f t="shared" si="1"/>
        <v>25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SUMIF(Erfassung3!BD:BD,L33,Erfassung3!BS:BS)</f>
        <v>527</v>
      </c>
      <c r="N33" s="108">
        <f>SUMIF(Erfassung3!BD:BD,L33,Erfassung3!BG:BG)</f>
        <v>3</v>
      </c>
      <c r="O33" s="108">
        <f t="shared" si="0"/>
        <v>175.66666663366667</v>
      </c>
      <c r="P33" s="108">
        <f t="shared" si="1"/>
        <v>10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SUMIF(Erfassung3!BD:BD,L34,Erfassung3!BS:BS)</f>
        <v>949</v>
      </c>
      <c r="N34" s="108">
        <f>SUMIF(Erfassung3!BD:BD,L34,Erfassung3!BG:BG)</f>
        <v>5</v>
      </c>
      <c r="O34" s="108">
        <f t="shared" si="0"/>
        <v>189.799999966</v>
      </c>
      <c r="P34" s="108">
        <f t="shared" si="1"/>
        <v>2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SUMIF(Erfassung3!BD:BD,L35,Erfassung3!BS:BS)</f>
        <v>807</v>
      </c>
      <c r="N35" s="108">
        <f>SUMIF(Erfassung3!BD:BD,L35,Erfassung3!BG:BG)</f>
        <v>5</v>
      </c>
      <c r="O35" s="108">
        <f t="shared" si="0"/>
        <v>161.39999996500001</v>
      </c>
      <c r="P35" s="108">
        <f t="shared" si="1"/>
        <v>19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SUMIF(Erfassung3!BD:BD,L36,Erfassung3!BS:BS)</f>
        <v>0</v>
      </c>
      <c r="N36" s="108">
        <f>SUMIF(Erfassung3!BD:BD,L36,Erfassung3!BG:BG)</f>
        <v>0</v>
      </c>
      <c r="O36" s="108">
        <f t="shared" si="0"/>
        <v>0</v>
      </c>
      <c r="P36" s="108">
        <f t="shared" si="1"/>
        <v>28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SUMIF(Erfassung3!BD:BD,L37,Erfassung3!BS:BS)</f>
        <v>0</v>
      </c>
      <c r="N37" s="108">
        <f>SUMIF(Erfassung3!BD:BD,L37,Erfassung3!BG:BG)</f>
        <v>0</v>
      </c>
      <c r="O37" s="108">
        <f t="shared" si="0"/>
        <v>0</v>
      </c>
      <c r="P37" s="108">
        <f t="shared" si="1"/>
        <v>28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SUMIF(Erfassung3!BD:BD,L38,Erfassung3!BS:BS)</f>
        <v>931</v>
      </c>
      <c r="N38" s="108">
        <f>SUMIF(Erfassung3!BD:BD,L38,Erfassung3!BG:BG)</f>
        <v>5</v>
      </c>
      <c r="O38" s="108">
        <f t="shared" si="0"/>
        <v>186.19999996199999</v>
      </c>
      <c r="P38" s="108">
        <f t="shared" si="1"/>
        <v>4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SUMIF(Erfassung3!BD:BD,L39,Erfassung3!BS:BS)</f>
        <v>838</v>
      </c>
      <c r="N39" s="108">
        <f>SUMIF(Erfassung3!BD:BD,L39,Erfassung3!BG:BG)</f>
        <v>5</v>
      </c>
      <c r="O39" s="108">
        <f t="shared" si="0"/>
        <v>167.59999996099998</v>
      </c>
      <c r="P39" s="108">
        <f t="shared" si="1"/>
        <v>16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SUMIF(Erfassung3!BD:BD,L40,Erfassung3!BS:BS)</f>
        <v>855</v>
      </c>
      <c r="N40" s="108">
        <f>SUMIF(Erfassung3!BD:BD,L40,Erfassung3!BG:BG)</f>
        <v>5</v>
      </c>
      <c r="O40" s="108">
        <f t="shared" si="0"/>
        <v>170.99999996</v>
      </c>
      <c r="P40" s="108">
        <f t="shared" si="1"/>
        <v>14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SUMIF(Erfassung3!BD:BD,L41,Erfassung3!BS:BS)</f>
        <v>0</v>
      </c>
      <c r="N41" s="108">
        <f>SUMIF(Erfassung3!BD:BD,L41,Erfassung3!BG:BG)</f>
        <v>0</v>
      </c>
      <c r="O41" s="108">
        <f t="shared" si="0"/>
        <v>0</v>
      </c>
      <c r="P41" s="108">
        <f t="shared" si="1"/>
        <v>28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SUMIF(Erfassung3!BD:BD,L42,Erfassung3!BS:BS)</f>
        <v>889</v>
      </c>
      <c r="N42" s="108">
        <f>SUMIF(Erfassung3!BD:BD,L42,Erfassung3!BG:BG)</f>
        <v>5</v>
      </c>
      <c r="O42" s="108">
        <f t="shared" si="0"/>
        <v>177.799999958</v>
      </c>
      <c r="P42" s="108">
        <f t="shared" si="1"/>
        <v>7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SUMIF(Erfassung3!BD:BD,L43,Erfassung3!BS:BS)</f>
        <v>865</v>
      </c>
      <c r="N43" s="108">
        <f>SUMIF(Erfassung3!BD:BD,L43,Erfassung3!BG:BG)</f>
        <v>5</v>
      </c>
      <c r="O43" s="108">
        <f t="shared" si="0"/>
        <v>172.999999957</v>
      </c>
      <c r="P43" s="108">
        <f t="shared" si="1"/>
        <v>13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SUMIF(Erfassung3!BD:BD,L44,Erfassung3!BS:BS)</f>
        <v>0</v>
      </c>
      <c r="N44" s="108">
        <f>SUMIF(Erfassung3!BD:BD,L44,Erfassung3!BG:BG)</f>
        <v>0</v>
      </c>
      <c r="O44" s="108">
        <f t="shared" si="0"/>
        <v>0</v>
      </c>
      <c r="P44" s="108">
        <f t="shared" si="1"/>
        <v>28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SUMIF(Erfassung3!BD:BD,L45,Erfassung3!BS:BS)</f>
        <v>0</v>
      </c>
      <c r="N45" s="108">
        <f>SUMIF(Erfassung3!BD:BD,L45,Erfassung3!BG:BG)</f>
        <v>0</v>
      </c>
      <c r="O45" s="108">
        <f t="shared" si="0"/>
        <v>0</v>
      </c>
      <c r="P45" s="108">
        <f t="shared" si="1"/>
        <v>28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SUMIF(Erfassung3!BD:BD,L46,Erfassung3!BS:BS)</f>
        <v>0</v>
      </c>
      <c r="N46" s="108">
        <f>SUMIF(Erfassung3!BD:BD,L46,Erfassung3!BG:BG)</f>
        <v>0</v>
      </c>
      <c r="O46" s="108">
        <f t="shared" si="0"/>
        <v>0</v>
      </c>
      <c r="P46" s="108">
        <f t="shared" si="1"/>
        <v>28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SUMIF(Erfassung3!BD:BD,L47,Erfassung3!BS:BS)</f>
        <v>0</v>
      </c>
      <c r="N47" s="108">
        <f>SUMIF(Erfassung3!BD:BD,L47,Erfassung3!BG:BG)</f>
        <v>0</v>
      </c>
      <c r="O47" s="108">
        <f t="shared" si="0"/>
        <v>0</v>
      </c>
      <c r="P47" s="108">
        <f t="shared" si="1"/>
        <v>28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SUMIF(Erfassung3!BD:BD,L48,Erfassung3!BS:BS)</f>
        <v>0</v>
      </c>
      <c r="N48" s="108">
        <f>SUMIF(Erfassung3!BD:BD,L48,Erfassung3!BG:BG)</f>
        <v>0</v>
      </c>
      <c r="O48" s="108">
        <f t="shared" si="0"/>
        <v>0</v>
      </c>
      <c r="P48" s="108">
        <f t="shared" si="1"/>
        <v>28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SUMIF(Erfassung3!BD:BD,L49,Erfassung3!BS:BS)</f>
        <v>0</v>
      </c>
      <c r="N49" s="108">
        <f>SUMIF(Erfassung3!BD:BD,L49,Erfassung3!BG:BG)</f>
        <v>0</v>
      </c>
      <c r="O49" s="108">
        <f t="shared" si="0"/>
        <v>0</v>
      </c>
      <c r="P49" s="108">
        <f t="shared" si="1"/>
        <v>28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SUMIF(Erfassung3!BD:BD,L50,Erfassung3!BS:BS)</f>
        <v>0</v>
      </c>
      <c r="N50" s="108">
        <f>SUMIF(Erfassung3!BD:BD,L50,Erfassung3!BG:BG)</f>
        <v>0</v>
      </c>
      <c r="O50" s="108">
        <f t="shared" si="0"/>
        <v>0</v>
      </c>
      <c r="P50" s="108">
        <f t="shared" si="1"/>
        <v>28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SUMIF(Erfassung3!BD:BD,L51,Erfassung3!BS:BS)</f>
        <v>0</v>
      </c>
      <c r="N51" s="108">
        <f>SUMIF(Erfassung3!BD:BD,L51,Erfassung3!BG:BG)</f>
        <v>0</v>
      </c>
      <c r="O51" s="108">
        <f t="shared" si="0"/>
        <v>0</v>
      </c>
      <c r="P51" s="108">
        <f t="shared" si="1"/>
        <v>28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SUMIF(Erfassung3!BD:BD,L52,Erfassung3!BS:BS)</f>
        <v>0</v>
      </c>
      <c r="N52" s="108">
        <f>SUMIF(Erfassung3!BD:BD,L52,Erfassung3!BG:BG)</f>
        <v>0</v>
      </c>
      <c r="O52" s="108">
        <f t="shared" si="0"/>
        <v>0</v>
      </c>
      <c r="P52" s="108">
        <f t="shared" si="1"/>
        <v>28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SUMIF(Erfassung3!BD:BD,L53,Erfassung3!BS:BS)</f>
        <v>0</v>
      </c>
      <c r="N53" s="108">
        <f>SUMIF(Erfassung3!BD:BD,L53,Erfassung3!BG:BG)</f>
        <v>0</v>
      </c>
      <c r="O53" s="108">
        <f t="shared" si="0"/>
        <v>0</v>
      </c>
      <c r="P53" s="108">
        <f t="shared" si="1"/>
        <v>28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SUMIF(Erfassung3!BD:BD,L54,Erfassung3!BS:BS)</f>
        <v>0</v>
      </c>
      <c r="N54" s="108">
        <f>SUMIF(Erfassung3!BD:BD,L54,Erfassung3!BG:BG)</f>
        <v>0</v>
      </c>
      <c r="O54" s="108">
        <f t="shared" si="0"/>
        <v>0</v>
      </c>
      <c r="P54" s="108">
        <f t="shared" si="1"/>
        <v>28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SUMIF(Erfassung3!BD:BD,L55,Erfassung3!BS:BS)</f>
        <v>0</v>
      </c>
      <c r="N55" s="108">
        <f>SUMIF(Erfassung3!BD:BD,L55,Erfassung3!BG:BG)</f>
        <v>0</v>
      </c>
      <c r="O55" s="108">
        <f t="shared" si="0"/>
        <v>0</v>
      </c>
      <c r="P55" s="108">
        <f t="shared" si="1"/>
        <v>28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SUMIF(Erfassung3!BD:BD,L56,Erfassung3!BS:BS)</f>
        <v>0</v>
      </c>
      <c r="N56" s="108">
        <f>SUMIF(Erfassung3!BD:BD,L56,Erfassung3!BG:BG)</f>
        <v>0</v>
      </c>
      <c r="O56" s="108">
        <f t="shared" si="0"/>
        <v>0</v>
      </c>
      <c r="P56" s="108">
        <f t="shared" si="1"/>
        <v>28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SUMIF(Erfassung3!BD:BD,L57,Erfassung3!BS:BS)</f>
        <v>0</v>
      </c>
      <c r="N57" s="108">
        <f>SUMIF(Erfassung3!BD:BD,L57,Erfassung3!BG:BG)</f>
        <v>0</v>
      </c>
      <c r="O57" s="108">
        <f t="shared" si="0"/>
        <v>0</v>
      </c>
      <c r="P57" s="108">
        <f t="shared" si="1"/>
        <v>28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SUMIF(Erfassung3!BD:BD,L58,Erfassung3!BS:BS)</f>
        <v>0</v>
      </c>
      <c r="N58" s="108">
        <f>SUMIF(Erfassung3!BD:BD,L58,Erfassung3!BG:BG)</f>
        <v>0</v>
      </c>
      <c r="O58" s="108">
        <f t="shared" si="0"/>
        <v>0</v>
      </c>
      <c r="P58" s="108">
        <f t="shared" si="1"/>
        <v>28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SUMIF(Erfassung3!BD:BD,L59,Erfassung3!BS:BS)</f>
        <v>0</v>
      </c>
      <c r="N59" s="108">
        <f>SUMIF(Erfassung3!BD:BD,L59,Erfassung3!BG:BG)</f>
        <v>0</v>
      </c>
      <c r="O59" s="108">
        <f t="shared" si="0"/>
        <v>0</v>
      </c>
      <c r="P59" s="108">
        <f t="shared" si="1"/>
        <v>28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SUMIF(Erfassung3!BD:BD,L60,Erfassung3!BS:BS)</f>
        <v>0</v>
      </c>
      <c r="N60" s="108">
        <f>SUMIF(Erfassung3!BD:BD,L60,Erfassung3!BG:BG)</f>
        <v>0</v>
      </c>
      <c r="O60" s="108">
        <f t="shared" si="0"/>
        <v>0</v>
      </c>
      <c r="P60" s="108">
        <f t="shared" si="1"/>
        <v>28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SUMIF(Erfassung3!BD:BD,L61,Erfassung3!BS:BS)</f>
        <v>0</v>
      </c>
      <c r="N61" s="108">
        <f>SUMIF(Erfassung3!BD:BD,L61,Erfassung3!BG:BG)</f>
        <v>0</v>
      </c>
      <c r="O61" s="108">
        <f t="shared" si="0"/>
        <v>0</v>
      </c>
      <c r="P61" s="108">
        <f t="shared" si="1"/>
        <v>28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SUMIF(Erfassung3!BD:BD,L62,Erfassung3!BS:BS)</f>
        <v>0</v>
      </c>
      <c r="N62" s="108">
        <f>SUMIF(Erfassung3!BD:BD,L62,Erfassung3!BG:BG)</f>
        <v>0</v>
      </c>
      <c r="O62" s="108">
        <f t="shared" si="0"/>
        <v>0</v>
      </c>
      <c r="P62" s="108">
        <f t="shared" si="1"/>
        <v>28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SUMIF(Erfassung3!BD:BD,L63,Erfassung3!BS:BS)</f>
        <v>0</v>
      </c>
      <c r="N63" s="108">
        <f>SUMIF(Erfassung3!BD:BD,L63,Erfassung3!BG:BG)</f>
        <v>0</v>
      </c>
      <c r="O63" s="108">
        <f t="shared" si="0"/>
        <v>0</v>
      </c>
      <c r="P63" s="108">
        <f t="shared" si="1"/>
        <v>28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SUMIF(Erfassung3!BD:BD,L64,Erfassung3!BS:BS)</f>
        <v>0</v>
      </c>
      <c r="N64" s="108">
        <f>SUMIF(Erfassung3!BD:BD,L64,Erfassung3!BG:BG)</f>
        <v>0</v>
      </c>
      <c r="O64" s="108">
        <f t="shared" si="0"/>
        <v>0</v>
      </c>
      <c r="P64" s="108">
        <f t="shared" si="1"/>
        <v>28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SUMIF(Erfassung3!BD:BD,L65,Erfassung3!BS:BS)</f>
        <v>0</v>
      </c>
      <c r="N65" s="108">
        <f>SUMIF(Erfassung3!BD:BD,L65,Erfassung3!BG:BG)</f>
        <v>0</v>
      </c>
      <c r="O65" s="108">
        <f t="shared" si="0"/>
        <v>0</v>
      </c>
      <c r="P65" s="108">
        <f t="shared" si="1"/>
        <v>28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SUMIF(Erfassung3!BD:BD,L66,Erfassung3!BS:BS)</f>
        <v>0</v>
      </c>
      <c r="N66" s="108">
        <f>SUMIF(Erfassung3!BD:BD,L66,Erfassung3!BG:BG)</f>
        <v>0</v>
      </c>
      <c r="O66" s="108">
        <f t="shared" si="0"/>
        <v>0</v>
      </c>
      <c r="P66" s="108">
        <f t="shared" si="1"/>
        <v>28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SUMIF(Erfassung3!BD:BD,L67,Erfassung3!BS:BS)</f>
        <v>0</v>
      </c>
      <c r="N67" s="108">
        <f>SUMIF(Erfassung3!BD:BD,L67,Erfassung3!BG:BG)</f>
        <v>0</v>
      </c>
      <c r="O67" s="108">
        <f t="shared" ref="O67:O104" si="7">IF(N67=0,0,M67/N67-ROW()/1000000000)</f>
        <v>0</v>
      </c>
      <c r="P67" s="108">
        <f t="shared" ref="P67:P104" si="8">RANK(O67,O:O)</f>
        <v>28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SUMIF(Erfassung3!BD:BD,L68,Erfassung3!BS:BS)</f>
        <v>0</v>
      </c>
      <c r="N68" s="108">
        <f>SUMIF(Erfassung3!BD:BD,L68,Erfassung3!BG:BG)</f>
        <v>0</v>
      </c>
      <c r="O68" s="108">
        <f t="shared" si="7"/>
        <v>0</v>
      </c>
      <c r="P68" s="108">
        <f t="shared" si="8"/>
        <v>28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SUMIF(Erfassung3!BD:BD,L69,Erfassung3!BS:BS)</f>
        <v>0</v>
      </c>
      <c r="N69" s="108">
        <f>SUMIF(Erfassung3!BD:BD,L69,Erfassung3!BG:BG)</f>
        <v>0</v>
      </c>
      <c r="O69" s="108">
        <f t="shared" si="7"/>
        <v>0</v>
      </c>
      <c r="P69" s="108">
        <f t="shared" si="8"/>
        <v>28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SUMIF(Erfassung3!BD:BD,L70,Erfassung3!BS:BS)</f>
        <v>0</v>
      </c>
      <c r="N70" s="108">
        <f>SUMIF(Erfassung3!BD:BD,L70,Erfassung3!BG:BG)</f>
        <v>0</v>
      </c>
      <c r="O70" s="108">
        <f t="shared" si="7"/>
        <v>0</v>
      </c>
      <c r="P70" s="108">
        <f t="shared" si="8"/>
        <v>28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SUMIF(Erfassung3!BD:BD,L71,Erfassung3!BS:BS)</f>
        <v>0</v>
      </c>
      <c r="N71" s="108">
        <f>SUMIF(Erfassung3!BD:BD,L71,Erfassung3!BG:BG)</f>
        <v>0</v>
      </c>
      <c r="O71" s="108">
        <f t="shared" si="7"/>
        <v>0</v>
      </c>
      <c r="P71" s="108">
        <f t="shared" si="8"/>
        <v>28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SUMIF(Erfassung3!BD:BD,L72,Erfassung3!BS:BS)</f>
        <v>0</v>
      </c>
      <c r="N72" s="108">
        <f>SUMIF(Erfassung3!BD:BD,L72,Erfassung3!BG:BG)</f>
        <v>0</v>
      </c>
      <c r="O72" s="108">
        <f t="shared" si="7"/>
        <v>0</v>
      </c>
      <c r="P72" s="108">
        <f t="shared" si="8"/>
        <v>28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SUMIF(Erfassung3!BD:BD,L73,Erfassung3!BS:BS)</f>
        <v>0</v>
      </c>
      <c r="N73" s="108">
        <f>SUMIF(Erfassung3!BD:BD,L73,Erfassung3!BG:BG)</f>
        <v>0</v>
      </c>
      <c r="O73" s="108">
        <f t="shared" si="7"/>
        <v>0</v>
      </c>
      <c r="P73" s="108">
        <f t="shared" si="8"/>
        <v>28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SUMIF(Erfassung3!BD:BD,L74,Erfassung3!BS:BS)</f>
        <v>0</v>
      </c>
      <c r="N74" s="108">
        <f>SUMIF(Erfassung3!BD:BD,L74,Erfassung3!BG:BG)</f>
        <v>0</v>
      </c>
      <c r="O74" s="108">
        <f t="shared" si="7"/>
        <v>0</v>
      </c>
      <c r="P74" s="108">
        <f t="shared" si="8"/>
        <v>28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SUMIF(Erfassung3!BD:BD,L75,Erfassung3!BS:BS)</f>
        <v>0</v>
      </c>
      <c r="N75" s="108">
        <f>SUMIF(Erfassung3!BD:BD,L75,Erfassung3!BG:BG)</f>
        <v>0</v>
      </c>
      <c r="O75" s="108">
        <f t="shared" si="7"/>
        <v>0</v>
      </c>
      <c r="P75" s="108">
        <f t="shared" si="8"/>
        <v>28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SUMIF(Erfassung3!BD:BD,L76,Erfassung3!BS:BS)</f>
        <v>0</v>
      </c>
      <c r="N76" s="108">
        <f>SUMIF(Erfassung3!BD:BD,L76,Erfassung3!BG:BG)</f>
        <v>0</v>
      </c>
      <c r="O76" s="108">
        <f t="shared" si="7"/>
        <v>0</v>
      </c>
      <c r="P76" s="108">
        <f t="shared" si="8"/>
        <v>28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SUMIF(Erfassung3!BD:BD,L77,Erfassung3!BS:BS)</f>
        <v>0</v>
      </c>
      <c r="N77" s="108">
        <f>SUMIF(Erfassung3!BD:BD,L77,Erfassung3!BG:BG)</f>
        <v>0</v>
      </c>
      <c r="O77" s="108">
        <f t="shared" si="7"/>
        <v>0</v>
      </c>
      <c r="P77" s="108">
        <f t="shared" si="8"/>
        <v>28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SUMIF(Erfassung3!BD:BD,L78,Erfassung3!BS:BS)</f>
        <v>0</v>
      </c>
      <c r="N78" s="108">
        <f>SUMIF(Erfassung3!BD:BD,L78,Erfassung3!BG:BG)</f>
        <v>0</v>
      </c>
      <c r="O78" s="108">
        <f t="shared" si="7"/>
        <v>0</v>
      </c>
      <c r="P78" s="108">
        <f t="shared" si="8"/>
        <v>28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SUMIF(Erfassung3!BD:BD,L79,Erfassung3!BS:BS)</f>
        <v>0</v>
      </c>
      <c r="N79" s="108">
        <f>SUMIF(Erfassung3!BD:BD,L79,Erfassung3!BG:BG)</f>
        <v>0</v>
      </c>
      <c r="O79" s="108">
        <f t="shared" si="7"/>
        <v>0</v>
      </c>
      <c r="P79" s="108">
        <f t="shared" si="8"/>
        <v>28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SUMIF(Erfassung3!BD:BD,L80,Erfassung3!BS:BS)</f>
        <v>0</v>
      </c>
      <c r="N80" s="108">
        <f>SUMIF(Erfassung3!BD:BD,L80,Erfassung3!BG:BG)</f>
        <v>0</v>
      </c>
      <c r="O80" s="108">
        <f t="shared" si="7"/>
        <v>0</v>
      </c>
      <c r="P80" s="108">
        <f t="shared" si="8"/>
        <v>28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SUMIF(Erfassung3!BD:BD,L81,Erfassung3!BS:BS)</f>
        <v>0</v>
      </c>
      <c r="N81" s="108">
        <f>SUMIF(Erfassung3!BD:BD,L81,Erfassung3!BG:BG)</f>
        <v>0</v>
      </c>
      <c r="O81" s="108">
        <f t="shared" si="7"/>
        <v>0</v>
      </c>
      <c r="P81" s="108">
        <f t="shared" si="8"/>
        <v>28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SUMIF(Erfassung3!BD:BD,L82,Erfassung3!BS:BS)</f>
        <v>0</v>
      </c>
      <c r="N82" s="108">
        <f>SUMIF(Erfassung3!BD:BD,L82,Erfassung3!BG:BG)</f>
        <v>0</v>
      </c>
      <c r="O82" s="108">
        <f t="shared" si="7"/>
        <v>0</v>
      </c>
      <c r="P82" s="108">
        <f t="shared" si="8"/>
        <v>28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SUMIF(Erfassung3!BD:BD,L83,Erfassung3!BS:BS)</f>
        <v>0</v>
      </c>
      <c r="N83" s="108">
        <f>SUMIF(Erfassung3!BD:BD,L83,Erfassung3!BG:BG)</f>
        <v>0</v>
      </c>
      <c r="O83" s="108">
        <f t="shared" si="7"/>
        <v>0</v>
      </c>
      <c r="P83" s="108">
        <f t="shared" si="8"/>
        <v>28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SUMIF(Erfassung3!BD:BD,L84,Erfassung3!BS:BS)</f>
        <v>0</v>
      </c>
      <c r="N84" s="108">
        <f>SUMIF(Erfassung3!BD:BD,L84,Erfassung3!BG:BG)</f>
        <v>0</v>
      </c>
      <c r="O84" s="108">
        <f t="shared" si="7"/>
        <v>0</v>
      </c>
      <c r="P84" s="108">
        <f t="shared" si="8"/>
        <v>28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SUMIF(Erfassung3!BD:BD,L85,Erfassung3!BS:BS)</f>
        <v>0</v>
      </c>
      <c r="N85" s="108">
        <f>SUMIF(Erfassung3!BD:BD,L85,Erfassung3!BG:BG)</f>
        <v>0</v>
      </c>
      <c r="O85" s="108">
        <f t="shared" si="7"/>
        <v>0</v>
      </c>
      <c r="P85" s="108">
        <f t="shared" si="8"/>
        <v>28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SUMIF(Erfassung3!BD:BD,L86,Erfassung3!BS:BS)</f>
        <v>0</v>
      </c>
      <c r="N86" s="108">
        <f>SUMIF(Erfassung3!BD:BD,L86,Erfassung3!BG:BG)</f>
        <v>0</v>
      </c>
      <c r="O86" s="108">
        <f t="shared" si="7"/>
        <v>0</v>
      </c>
      <c r="P86" s="108">
        <f t="shared" si="8"/>
        <v>28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SUMIF(Erfassung3!BD:BD,L87,Erfassung3!BS:BS)</f>
        <v>0</v>
      </c>
      <c r="N87" s="108">
        <f>SUMIF(Erfassung3!BD:BD,L87,Erfassung3!BG:BG)</f>
        <v>0</v>
      </c>
      <c r="O87" s="108">
        <f t="shared" si="7"/>
        <v>0</v>
      </c>
      <c r="P87" s="108">
        <f t="shared" si="8"/>
        <v>28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SUMIF(Erfassung3!BD:BD,L88,Erfassung3!BS:BS)</f>
        <v>0</v>
      </c>
      <c r="N88" s="108">
        <f>SUMIF(Erfassung3!BD:BD,L88,Erfassung3!BG:BG)</f>
        <v>0</v>
      </c>
      <c r="O88" s="108">
        <f t="shared" si="7"/>
        <v>0</v>
      </c>
      <c r="P88" s="108">
        <f t="shared" si="8"/>
        <v>28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SUMIF(Erfassung3!BD:BD,L89,Erfassung3!BS:BS)</f>
        <v>0</v>
      </c>
      <c r="N89" s="108">
        <f>SUMIF(Erfassung3!BD:BD,L89,Erfassung3!BG:BG)</f>
        <v>0</v>
      </c>
      <c r="O89" s="108">
        <f t="shared" si="7"/>
        <v>0</v>
      </c>
      <c r="P89" s="108">
        <f t="shared" si="8"/>
        <v>28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SUMIF(Erfassung3!BD:BD,L90,Erfassung3!BS:BS)</f>
        <v>0</v>
      </c>
      <c r="N90" s="108">
        <f>SUMIF(Erfassung3!BD:BD,L90,Erfassung3!BG:BG)</f>
        <v>0</v>
      </c>
      <c r="O90" s="108">
        <f t="shared" si="7"/>
        <v>0</v>
      </c>
      <c r="P90" s="108">
        <f t="shared" si="8"/>
        <v>28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SUMIF(Erfassung3!BD:BD,L91,Erfassung3!BS:BS)</f>
        <v>0</v>
      </c>
      <c r="N91" s="108">
        <f>SUMIF(Erfassung3!BD:BD,L91,Erfassung3!BG:BG)</f>
        <v>0</v>
      </c>
      <c r="O91" s="108">
        <f t="shared" si="7"/>
        <v>0</v>
      </c>
      <c r="P91" s="108">
        <f t="shared" si="8"/>
        <v>28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SUMIF(Erfassung3!BD:BD,L92,Erfassung3!BS:BS)</f>
        <v>0</v>
      </c>
      <c r="N92" s="108">
        <f>SUMIF(Erfassung3!BD:BD,L92,Erfassung3!BG:BG)</f>
        <v>0</v>
      </c>
      <c r="O92" s="108">
        <f t="shared" si="7"/>
        <v>0</v>
      </c>
      <c r="P92" s="108">
        <f t="shared" si="8"/>
        <v>28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SUMIF(Erfassung3!BD:BD,L93,Erfassung3!BS:BS)</f>
        <v>0</v>
      </c>
      <c r="N93" s="108">
        <f>SUMIF(Erfassung3!BD:BD,L93,Erfassung3!BG:BG)</f>
        <v>0</v>
      </c>
      <c r="O93" s="108">
        <f t="shared" si="7"/>
        <v>0</v>
      </c>
      <c r="P93" s="108">
        <f t="shared" si="8"/>
        <v>28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SUMIF(Erfassung3!BD:BD,L94,Erfassung3!BS:BS)</f>
        <v>0</v>
      </c>
      <c r="N94" s="108">
        <f>SUMIF(Erfassung3!BD:BD,L94,Erfassung3!BG:BG)</f>
        <v>0</v>
      </c>
      <c r="O94" s="108">
        <f t="shared" si="7"/>
        <v>0</v>
      </c>
      <c r="P94" s="108">
        <f t="shared" si="8"/>
        <v>28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SUMIF(Erfassung3!BD:BD,L95,Erfassung3!BS:BS)</f>
        <v>0</v>
      </c>
      <c r="N95" s="108">
        <f>SUMIF(Erfassung3!BD:BD,L95,Erfassung3!BG:BG)</f>
        <v>0</v>
      </c>
      <c r="O95" s="108">
        <f t="shared" si="7"/>
        <v>0</v>
      </c>
      <c r="P95" s="108">
        <f t="shared" si="8"/>
        <v>28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SUMIF(Erfassung3!BD:BD,L96,Erfassung3!BS:BS)</f>
        <v>0</v>
      </c>
      <c r="N96" s="108">
        <f>SUMIF(Erfassung3!BD:BD,L96,Erfassung3!BG:BG)</f>
        <v>0</v>
      </c>
      <c r="O96" s="108">
        <f t="shared" si="7"/>
        <v>0</v>
      </c>
      <c r="P96" s="108">
        <f t="shared" si="8"/>
        <v>28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SUMIF(Erfassung3!BD:BD,L97,Erfassung3!BS:BS)</f>
        <v>0</v>
      </c>
      <c r="N97" s="108">
        <f>SUMIF(Erfassung3!BD:BD,L97,Erfassung3!BG:BG)</f>
        <v>0</v>
      </c>
      <c r="O97" s="108">
        <f t="shared" si="7"/>
        <v>0</v>
      </c>
      <c r="P97" s="108">
        <f t="shared" si="8"/>
        <v>28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SUMIF(Erfassung3!BD:BD,L98,Erfassung3!BS:BS)</f>
        <v>0</v>
      </c>
      <c r="N98" s="108">
        <f>SUMIF(Erfassung3!BD:BD,L98,Erfassung3!BG:BG)</f>
        <v>0</v>
      </c>
      <c r="O98" s="108">
        <f t="shared" si="7"/>
        <v>0</v>
      </c>
      <c r="P98" s="108">
        <f t="shared" si="8"/>
        <v>28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SUMIF(Erfassung3!BD:BD,L99,Erfassung3!BS:BS)</f>
        <v>0</v>
      </c>
      <c r="N99" s="108">
        <f>SUMIF(Erfassung3!BD:BD,L99,Erfassung3!BG:BG)</f>
        <v>0</v>
      </c>
      <c r="O99" s="108">
        <f t="shared" si="7"/>
        <v>0</v>
      </c>
      <c r="P99" s="108">
        <f t="shared" si="8"/>
        <v>28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SUMIF(Erfassung3!BD:BD,L100,Erfassung3!BS:BS)</f>
        <v>0</v>
      </c>
      <c r="N100" s="108">
        <f>SUMIF(Erfassung3!BD:BD,L100,Erfassung3!BG:BG)</f>
        <v>0</v>
      </c>
      <c r="O100" s="108">
        <f t="shared" si="7"/>
        <v>0</v>
      </c>
      <c r="P100" s="108">
        <f t="shared" si="8"/>
        <v>28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SUMIF(Erfassung3!BD:BD,L101,Erfassung3!BS:BS)</f>
        <v>0</v>
      </c>
      <c r="N101" s="108">
        <f>SUMIF(Erfassung3!BD:BD,L101,Erfassung3!BG:BG)</f>
        <v>0</v>
      </c>
      <c r="O101" s="108">
        <f t="shared" si="7"/>
        <v>0</v>
      </c>
      <c r="P101" s="108">
        <f t="shared" si="8"/>
        <v>28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SUMIF(Erfassung3!BD:BD,L102,Erfassung3!BS:BS)</f>
        <v>0</v>
      </c>
      <c r="N102" s="108">
        <f>SUMIF(Erfassung3!BD:BD,L102,Erfassung3!BG:BG)</f>
        <v>0</v>
      </c>
      <c r="O102" s="108">
        <f t="shared" si="7"/>
        <v>0</v>
      </c>
      <c r="P102" s="108">
        <f t="shared" si="8"/>
        <v>28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SUMIF(Erfassung3!BD:BD,L103,Erfassung3!BS:BS)</f>
        <v>0</v>
      </c>
      <c r="N103" s="108">
        <f>SUMIF(Erfassung3!BD:BD,L103,Erfassung3!BG:BG)</f>
        <v>0</v>
      </c>
      <c r="O103" s="108">
        <f t="shared" si="7"/>
        <v>0</v>
      </c>
      <c r="P103" s="108">
        <f t="shared" si="8"/>
        <v>28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SUMIF(Erfassung3!BD:BD,L104,Erfassung3!BS:BS)</f>
        <v>0</v>
      </c>
      <c r="N104" s="108">
        <f>SUMIF(Erfassung3!BD:BD,L104,Erfassung3!BG:BG)</f>
        <v>0</v>
      </c>
      <c r="O104" s="108">
        <f t="shared" si="7"/>
        <v>0</v>
      </c>
      <c r="P104" s="108">
        <f t="shared" si="8"/>
        <v>28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FF281-D4EF-4547-A90E-2E7407D1A4A9}">
  <sheetPr>
    <tabColor rgb="FF7030A0"/>
    <pageSetUpPr fitToPage="1"/>
  </sheetPr>
  <dimension ref="A1:Q104"/>
  <sheetViews>
    <sheetView view="pageBreakPreview" zoomScaleNormal="100" zoomScaleSheetLayoutView="100" workbookViewId="0">
      <selection activeCell="L12" sqref="L12"/>
    </sheetView>
  </sheetViews>
  <sheetFormatPr baseColWidth="10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92" customWidth="1"/>
    <col min="6" max="6" width="7.7109375" customWidth="1"/>
    <col min="7" max="7" width="7.7109375" style="169" customWidth="1"/>
    <col min="11" max="11" width="11.42578125" customWidth="1"/>
    <col min="12" max="12" width="11.42578125" style="108" hidden="1" customWidth="1"/>
    <col min="13" max="17" width="11.42578125" hidden="1" customWidth="1"/>
    <col min="18" max="20" width="11.42578125" customWidth="1"/>
  </cols>
  <sheetData>
    <row r="1" spans="1:16" ht="28.5" customHeight="1" x14ac:dyDescent="0.4">
      <c r="A1" s="87" t="s">
        <v>1785</v>
      </c>
      <c r="C1" s="160" t="str">
        <f>Schlüssel!$C$1</f>
        <v>Bezirksliga N1 Männer</v>
      </c>
      <c r="D1" s="161"/>
      <c r="E1" s="168"/>
      <c r="F1" s="161"/>
      <c r="L1" s="108" t="s">
        <v>1814</v>
      </c>
      <c r="M1" t="s">
        <v>1799</v>
      </c>
      <c r="N1" t="s">
        <v>1819</v>
      </c>
      <c r="O1" t="s">
        <v>1805</v>
      </c>
      <c r="P1" t="s">
        <v>1820</v>
      </c>
    </row>
    <row r="2" spans="1:16" ht="28.5" customHeight="1" x14ac:dyDescent="0.3">
      <c r="A2" s="170" t="s">
        <v>1784</v>
      </c>
      <c r="C2" s="28">
        <v>3</v>
      </c>
      <c r="D2" s="28" t="s">
        <v>1864</v>
      </c>
      <c r="E2" s="171"/>
      <c r="F2" s="172"/>
      <c r="L2" s="108">
        <f>INDEX(Starter!A:A,ROW()-1)</f>
        <v>7136</v>
      </c>
      <c r="M2">
        <f>INDEX(SchnittGes2!M:M,MATCH(L2,SchnittGes2!L:L,0))+INDEX(Schnitt3!M:M,MATCH(L2,Schnitt3!L:L,0))</f>
        <v>1689</v>
      </c>
      <c r="N2">
        <f>INDEX(SchnittGes2!N:N,MATCH(L2,SchnittGes2!L:L,0))+INDEX(Schnitt3!N:N,MATCH(L2,Schnitt3!L:L,0))</f>
        <v>10</v>
      </c>
      <c r="O2">
        <f t="shared" ref="O2:O65" si="0">IF(N2=0,0,M2/N2-ROW()/1000000000)</f>
        <v>168.899999998</v>
      </c>
      <c r="P2">
        <f t="shared" ref="P2:P65" si="1">RANK(O2,O:O)</f>
        <v>23</v>
      </c>
    </row>
    <row r="3" spans="1:16" x14ac:dyDescent="0.2">
      <c r="L3" s="108">
        <f>INDEX(Starter!A:A,ROW()-1)</f>
        <v>7123</v>
      </c>
      <c r="M3">
        <f>INDEX(SchnittGes2!M:M,MATCH(L3,SchnittGes2!L:L,0))+INDEX(Schnitt3!M:M,MATCH(L3,Schnitt3!L:L,0))</f>
        <v>2176</v>
      </c>
      <c r="N3">
        <f>INDEX(SchnittGes2!N:N,MATCH(L3,SchnittGes2!L:L,0))+INDEX(Schnitt3!N:N,MATCH(L3,Schnitt3!L:L,0))</f>
        <v>15</v>
      </c>
      <c r="O3">
        <f t="shared" si="0"/>
        <v>145.06666666366667</v>
      </c>
      <c r="P3">
        <f t="shared" si="1"/>
        <v>36</v>
      </c>
    </row>
    <row r="4" spans="1:16" x14ac:dyDescent="0.2">
      <c r="A4" s="128" t="s">
        <v>1822</v>
      </c>
      <c r="B4" s="128" t="s">
        <v>1814</v>
      </c>
      <c r="C4" t="s">
        <v>1797</v>
      </c>
      <c r="D4" t="s">
        <v>1823</v>
      </c>
      <c r="E4" s="173" t="s">
        <v>1799</v>
      </c>
      <c r="F4" s="128" t="s">
        <v>1819</v>
      </c>
      <c r="G4" s="174" t="s">
        <v>1805</v>
      </c>
      <c r="L4" s="108">
        <f>INDEX(Starter!A:A,ROW()-1)</f>
        <v>25479</v>
      </c>
      <c r="M4">
        <f>INDEX(SchnittGes2!M:M,MATCH(L4,SchnittGes2!L:L,0))+INDEX(Schnitt3!M:M,MATCH(L4,Schnitt3!L:L,0))</f>
        <v>1588</v>
      </c>
      <c r="N4">
        <f>INDEX(SchnittGes2!N:N,MATCH(L4,SchnittGes2!L:L,0))+INDEX(Schnitt3!N:N,MATCH(L4,Schnitt3!L:L,0))</f>
        <v>10</v>
      </c>
      <c r="O4">
        <f t="shared" si="0"/>
        <v>158.79999999600003</v>
      </c>
      <c r="P4">
        <f t="shared" si="1"/>
        <v>30</v>
      </c>
    </row>
    <row r="5" spans="1:16" x14ac:dyDescent="0.2">
      <c r="A5">
        <v>1</v>
      </c>
      <c r="B5">
        <f t="shared" ref="B5:B68" si="2">IFERROR(INDEX(L:L,MATCH(A5,P:P,0)),"")</f>
        <v>38046</v>
      </c>
      <c r="C5" t="str">
        <f>IFERROR(INDEX(Starter!B:B,MATCH(B5,Starter!A:A,0)),"")</f>
        <v>Humbs, Martin</v>
      </c>
      <c r="D5" t="str">
        <f>IFERROR(INDEX(Starter!C:C,MATCH(B5,Starter!A:A,0)),"")</f>
        <v>BC Castra Regina Regensburg</v>
      </c>
      <c r="E5" s="92">
        <f t="shared" ref="E5:E68" si="3">IFERROR(INDEX(M:M,MATCH(A5,P:P,0)),"")</f>
        <v>3063</v>
      </c>
      <c r="F5">
        <f t="shared" ref="F5:F68" si="4">IFERROR(INDEX(N:N,MATCH(A5,P:P,0)),"")</f>
        <v>15</v>
      </c>
      <c r="G5" s="169">
        <f t="shared" ref="G5:G68" si="5">IFERROR(INDEX(O:O,MATCH(A5,P:P,0)),"")</f>
        <v>204.19999997799999</v>
      </c>
      <c r="L5" s="108">
        <f>INDEX(Starter!A:A,ROW()-1)</f>
        <v>7128</v>
      </c>
      <c r="M5">
        <f>INDEX(SchnittGes2!M:M,MATCH(L5,SchnittGes2!L:L,0))+INDEX(Schnitt3!M:M,MATCH(L5,Schnitt3!L:L,0))</f>
        <v>1678</v>
      </c>
      <c r="N5">
        <f>INDEX(SchnittGes2!N:N,MATCH(L5,SchnittGes2!L:L,0))+INDEX(Schnitt3!N:N,MATCH(L5,Schnitt3!L:L,0))</f>
        <v>10</v>
      </c>
      <c r="O5">
        <f t="shared" si="0"/>
        <v>167.79999999500001</v>
      </c>
      <c r="P5">
        <f t="shared" si="1"/>
        <v>25</v>
      </c>
    </row>
    <row r="6" spans="1:16" x14ac:dyDescent="0.2">
      <c r="A6">
        <f t="shared" ref="A6:A69" si="6">IFERROR(IF(A5+1&gt;MAX(P:P)-1,"",A5+1),"")</f>
        <v>2</v>
      </c>
      <c r="B6">
        <f t="shared" si="2"/>
        <v>25723</v>
      </c>
      <c r="C6" t="str">
        <f>IFERROR(INDEX(Starter!B:B,MATCH(B6,Starter!A:A,0)),"")</f>
        <v>Bothe, Thomas</v>
      </c>
      <c r="D6" t="str">
        <f>IFERROR(INDEX(Starter!C:C,MATCH(B6,Starter!A:A,0)),"")</f>
        <v>BC Castra Regina Regensburg</v>
      </c>
      <c r="E6" s="92">
        <f t="shared" si="3"/>
        <v>969</v>
      </c>
      <c r="F6">
        <f t="shared" si="4"/>
        <v>5</v>
      </c>
      <c r="G6" s="169">
        <f t="shared" si="5"/>
        <v>193.79999996400002</v>
      </c>
      <c r="L6" s="108">
        <f>INDEX(Starter!A:A,ROW()-1)</f>
        <v>38507</v>
      </c>
      <c r="M6">
        <f>INDEX(SchnittGes2!M:M,MATCH(L6,SchnittGes2!L:L,0))+INDEX(Schnitt3!M:M,MATCH(L6,Schnitt3!L:L,0))</f>
        <v>444</v>
      </c>
      <c r="N6">
        <f>INDEX(SchnittGes2!N:N,MATCH(L6,SchnittGes2!L:L,0))+INDEX(Schnitt3!N:N,MATCH(L6,Schnitt3!L:L,0))</f>
        <v>3</v>
      </c>
      <c r="O6">
        <f t="shared" si="0"/>
        <v>147.99999999400001</v>
      </c>
      <c r="P6">
        <f t="shared" si="1"/>
        <v>35</v>
      </c>
    </row>
    <row r="7" spans="1:16" x14ac:dyDescent="0.2">
      <c r="A7">
        <f t="shared" si="6"/>
        <v>3</v>
      </c>
      <c r="B7">
        <f t="shared" si="2"/>
        <v>38260</v>
      </c>
      <c r="C7" t="str">
        <f>IFERROR(INDEX(Starter!B:B,MATCH(B7,Starter!A:A,0)),"")</f>
        <v>Zehendner, Lukas</v>
      </c>
      <c r="D7" t="str">
        <f>IFERROR(INDEX(Starter!C:C,MATCH(B7,Starter!A:A,0)),"")</f>
        <v>BC Castra Regina Regensburg</v>
      </c>
      <c r="E7" s="92">
        <f t="shared" si="3"/>
        <v>949</v>
      </c>
      <c r="F7">
        <f t="shared" si="4"/>
        <v>5</v>
      </c>
      <c r="G7" s="169">
        <f t="shared" si="5"/>
        <v>189.799999966</v>
      </c>
      <c r="L7" s="108">
        <f>INDEX(Starter!A:A,ROW()-1)</f>
        <v>38115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38</v>
      </c>
    </row>
    <row r="8" spans="1:16" x14ac:dyDescent="0.2">
      <c r="A8">
        <f t="shared" si="6"/>
        <v>4</v>
      </c>
      <c r="B8">
        <f t="shared" si="2"/>
        <v>7813</v>
      </c>
      <c r="C8" t="str">
        <f>IFERROR(INDEX(Starter!B:B,MATCH(B8,Starter!A:A,0)),"")</f>
        <v>Walzer, Peter</v>
      </c>
      <c r="D8" t="str">
        <f>IFERROR(INDEX(Starter!C:C,MATCH(B8,Starter!A:A,0)),"")</f>
        <v>BC Castra Regina Regensburg</v>
      </c>
      <c r="E8" s="92">
        <f t="shared" si="3"/>
        <v>1883</v>
      </c>
      <c r="F8">
        <f t="shared" si="4"/>
        <v>10</v>
      </c>
      <c r="G8" s="169">
        <f t="shared" si="5"/>
        <v>188.29999997300001</v>
      </c>
      <c r="L8" s="108">
        <f>INDEX(Starter!A:A,ROW()-1)</f>
        <v>7586</v>
      </c>
      <c r="M8">
        <f>INDEX(SchnittGes2!M:M,MATCH(L8,SchnittGes2!L:L,0))+INDEX(Schnitt3!M:M,MATCH(L8,Schnitt3!L:L,0))</f>
        <v>2730</v>
      </c>
      <c r="N8">
        <f>INDEX(SchnittGes2!N:N,MATCH(L8,SchnittGes2!L:L,0))+INDEX(Schnitt3!N:N,MATCH(L8,Schnitt3!L:L,0))</f>
        <v>15</v>
      </c>
      <c r="O8">
        <f t="shared" si="0"/>
        <v>181.999999992</v>
      </c>
      <c r="P8">
        <f t="shared" si="1"/>
        <v>10</v>
      </c>
    </row>
    <row r="9" spans="1:16" x14ac:dyDescent="0.2">
      <c r="A9">
        <f t="shared" si="6"/>
        <v>5</v>
      </c>
      <c r="B9">
        <f t="shared" si="2"/>
        <v>7814</v>
      </c>
      <c r="C9" t="str">
        <f>IFERROR(INDEX(Starter!B:B,MATCH(B9,Starter!A:A,0)),"")</f>
        <v>Kauscher, Bernhard</v>
      </c>
      <c r="D9" t="str">
        <f>IFERROR(INDEX(Starter!C:C,MATCH(B9,Starter!A:A,0)),"")</f>
        <v>BC Castra Regina Regensburg</v>
      </c>
      <c r="E9" s="92">
        <f t="shared" si="3"/>
        <v>1881</v>
      </c>
      <c r="F9">
        <f t="shared" si="4"/>
        <v>10</v>
      </c>
      <c r="G9" s="169">
        <f t="shared" si="5"/>
        <v>188.09999997399999</v>
      </c>
      <c r="L9" s="108">
        <f>INDEX(Starter!A:A,ROW()-1)</f>
        <v>9936</v>
      </c>
      <c r="M9">
        <f>INDEX(SchnittGes2!M:M,MATCH(L9,SchnittGes2!L:L,0))+INDEX(Schnitt3!M:M,MATCH(L9,Schnitt3!L:L,0))</f>
        <v>1729</v>
      </c>
      <c r="N9">
        <f>INDEX(SchnittGes2!N:N,MATCH(L9,SchnittGes2!L:L,0))+INDEX(Schnitt3!N:N,MATCH(L9,Schnitt3!L:L,0))</f>
        <v>10</v>
      </c>
      <c r="O9">
        <f t="shared" si="0"/>
        <v>172.89999999100002</v>
      </c>
      <c r="P9">
        <f t="shared" si="1"/>
        <v>19</v>
      </c>
    </row>
    <row r="10" spans="1:16" x14ac:dyDescent="0.2">
      <c r="A10">
        <f t="shared" si="6"/>
        <v>6</v>
      </c>
      <c r="B10">
        <f t="shared" si="2"/>
        <v>7816</v>
      </c>
      <c r="C10" t="str">
        <f>IFERROR(INDEX(Starter!B:B,MATCH(B10,Starter!A:A,0)),"")</f>
        <v>Jahre, Steffen</v>
      </c>
      <c r="D10" t="str">
        <f>IFERROR(INDEX(Starter!C:C,MATCH(B10,Starter!A:A,0)),"")</f>
        <v>BC Castra Regina Regensburg</v>
      </c>
      <c r="E10" s="92">
        <f t="shared" si="3"/>
        <v>919</v>
      </c>
      <c r="F10">
        <f t="shared" si="4"/>
        <v>5</v>
      </c>
      <c r="G10" s="169">
        <f t="shared" si="5"/>
        <v>183.799999963</v>
      </c>
      <c r="L10" s="108">
        <f>INDEX(Starter!A:A,ROW()-1)</f>
        <v>7135</v>
      </c>
      <c r="M10">
        <f>INDEX(SchnittGes2!M:M,MATCH(L10,SchnittGes2!L:L,0))+INDEX(Schnitt3!M:M,MATCH(L10,Schnitt3!L:L,0))</f>
        <v>914</v>
      </c>
      <c r="N10">
        <f>INDEX(SchnittGes2!N:N,MATCH(L10,SchnittGes2!L:L,0))+INDEX(Schnitt3!N:N,MATCH(L10,Schnitt3!L:L,0))</f>
        <v>5</v>
      </c>
      <c r="O10">
        <f t="shared" si="0"/>
        <v>182.79999999</v>
      </c>
      <c r="P10">
        <f t="shared" si="1"/>
        <v>7</v>
      </c>
    </row>
    <row r="11" spans="1:16" x14ac:dyDescent="0.2">
      <c r="A11">
        <f t="shared" si="6"/>
        <v>7</v>
      </c>
      <c r="B11">
        <f t="shared" si="2"/>
        <v>7135</v>
      </c>
      <c r="C11" t="str">
        <f>IFERROR(INDEX(Starter!B:B,MATCH(B11,Starter!A:A,0)),"")</f>
        <v>Franke, Guido</v>
      </c>
      <c r="D11" t="str">
        <f>IFERROR(INDEX(Starter!C:C,MATCH(B11,Starter!A:A,0)),"")</f>
        <v>Kings Club Bayreuth</v>
      </c>
      <c r="E11" s="92">
        <f t="shared" si="3"/>
        <v>914</v>
      </c>
      <c r="F11">
        <f t="shared" si="4"/>
        <v>5</v>
      </c>
      <c r="G11" s="169">
        <f t="shared" si="5"/>
        <v>182.79999999</v>
      </c>
      <c r="L11" s="108">
        <f>INDEX(Starter!A:A,ROW()-1)</f>
        <v>38367</v>
      </c>
      <c r="M11">
        <f>INDEX(SchnittGes2!M:M,MATCH(L11,SchnittGes2!L:L,0))+INDEX(Schnitt3!M:M,MATCH(L11,Schnitt3!L:L,0))</f>
        <v>0</v>
      </c>
      <c r="N11">
        <f>INDEX(SchnittGes2!N:N,MATCH(L11,SchnittGes2!L:L,0))+INDEX(Schnitt3!N:N,MATCH(L11,Schnitt3!L:L,0))</f>
        <v>0</v>
      </c>
      <c r="O11">
        <f t="shared" si="0"/>
        <v>0</v>
      </c>
      <c r="P11">
        <f t="shared" si="1"/>
        <v>38</v>
      </c>
    </row>
    <row r="12" spans="1:16" x14ac:dyDescent="0.2">
      <c r="A12">
        <f t="shared" si="6"/>
        <v>8</v>
      </c>
      <c r="B12">
        <f t="shared" si="2"/>
        <v>7849</v>
      </c>
      <c r="C12" t="str">
        <f>IFERROR(INDEX(Starter!B:B,MATCH(B12,Starter!A:A,0)),"")</f>
        <v>Stibel, Blasius</v>
      </c>
      <c r="D12" t="str">
        <f>IFERROR(INDEX(Starter!C:C,MATCH(B12,Starter!A:A,0)),"")</f>
        <v>BC Castra Regina Regensburg</v>
      </c>
      <c r="E12" s="92">
        <f t="shared" si="3"/>
        <v>1828</v>
      </c>
      <c r="F12">
        <f t="shared" si="4"/>
        <v>10</v>
      </c>
      <c r="G12" s="169">
        <f t="shared" si="5"/>
        <v>182.799999969</v>
      </c>
      <c r="L12" s="108">
        <f>INDEX(Starter!A:A,ROW()-1)</f>
        <v>38152</v>
      </c>
      <c r="M12">
        <f>INDEX(SchnittGes2!M:M,MATCH(L12,SchnittGes2!L:L,0))+INDEX(Schnitt3!M:M,MATCH(L12,Schnitt3!L:L,0))</f>
        <v>282</v>
      </c>
      <c r="N12">
        <f>INDEX(SchnittGes2!N:N,MATCH(L12,SchnittGes2!L:L,0))+INDEX(Schnitt3!N:N,MATCH(L12,Schnitt3!L:L,0))</f>
        <v>2</v>
      </c>
      <c r="O12">
        <f t="shared" si="0"/>
        <v>140.99999998800001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7282</v>
      </c>
      <c r="C13" t="str">
        <f>IFERROR(INDEX(Starter!B:B,MATCH(B13,Starter!A:A,0)),"")</f>
        <v>Voss, Horst</v>
      </c>
      <c r="D13" t="str">
        <f>IFERROR(INDEX(Starter!C:C,MATCH(B13,Starter!A:A,0)),"")</f>
        <v>BC Herzogenaurach</v>
      </c>
      <c r="E13" s="92">
        <f t="shared" si="3"/>
        <v>1460</v>
      </c>
      <c r="F13">
        <f t="shared" si="4"/>
        <v>8</v>
      </c>
      <c r="G13" s="169">
        <f t="shared" si="5"/>
        <v>182.49999998199999</v>
      </c>
      <c r="L13" s="108">
        <f>INDEX(Starter!A:A,ROW()-1)</f>
        <v>25007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0"/>
        <v>0</v>
      </c>
      <c r="P13">
        <f t="shared" si="1"/>
        <v>38</v>
      </c>
    </row>
    <row r="14" spans="1:16" x14ac:dyDescent="0.2">
      <c r="A14">
        <f t="shared" si="6"/>
        <v>10</v>
      </c>
      <c r="B14">
        <f t="shared" si="2"/>
        <v>7586</v>
      </c>
      <c r="C14" t="str">
        <f>IFERROR(INDEX(Starter!B:B,MATCH(B14,Starter!A:A,0)),"")</f>
        <v>Eichner, Karl</v>
      </c>
      <c r="D14" t="str">
        <f>IFERROR(INDEX(Starter!C:C,MATCH(B14,Starter!A:A,0)),"")</f>
        <v>Kings Club Bayreuth</v>
      </c>
      <c r="E14" s="92">
        <f t="shared" si="3"/>
        <v>2730</v>
      </c>
      <c r="F14">
        <f t="shared" si="4"/>
        <v>15</v>
      </c>
      <c r="G14" s="169">
        <f t="shared" si="5"/>
        <v>181.999999992</v>
      </c>
      <c r="L14" s="108">
        <f>INDEX(Starter!A:A,ROW()-1)</f>
        <v>38661</v>
      </c>
      <c r="M14">
        <f>INDEX(SchnittGes2!M:M,MATCH(L14,SchnittGes2!L:L,0))+INDEX(Schnitt3!M:M,MATCH(L14,Schnitt3!L:L,0))</f>
        <v>1711</v>
      </c>
      <c r="N14">
        <f>INDEX(SchnittGes2!N:N,MATCH(L14,SchnittGes2!L:L,0))+INDEX(Schnitt3!N:N,MATCH(L14,Schnitt3!L:L,0))</f>
        <v>10</v>
      </c>
      <c r="O14">
        <f t="shared" si="0"/>
        <v>171.099999986</v>
      </c>
      <c r="P14">
        <f t="shared" si="1"/>
        <v>21</v>
      </c>
    </row>
    <row r="15" spans="1:16" x14ac:dyDescent="0.2">
      <c r="A15">
        <f t="shared" si="6"/>
        <v>11</v>
      </c>
      <c r="B15">
        <f t="shared" si="2"/>
        <v>25895</v>
      </c>
      <c r="C15" t="str">
        <f>IFERROR(INDEX(Starter!B:B,MATCH(B15,Starter!A:A,0)),"")</f>
        <v>Gilch, Stefan</v>
      </c>
      <c r="D15" t="str">
        <f>IFERROR(INDEX(Starter!C:C,MATCH(B15,Starter!A:A,0)),"")</f>
        <v>BC Castra Regina Regensburg</v>
      </c>
      <c r="E15" s="92">
        <f t="shared" si="3"/>
        <v>1995</v>
      </c>
      <c r="F15">
        <f t="shared" si="4"/>
        <v>11</v>
      </c>
      <c r="G15" s="169">
        <f t="shared" si="5"/>
        <v>181.36363633063638</v>
      </c>
      <c r="L15" s="108">
        <f>INDEX(Starter!A:A,ROW()-1)</f>
        <v>34393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0"/>
        <v>0</v>
      </c>
      <c r="P15">
        <f t="shared" si="1"/>
        <v>38</v>
      </c>
    </row>
    <row r="16" spans="1:16" x14ac:dyDescent="0.2">
      <c r="A16">
        <f t="shared" si="6"/>
        <v>12</v>
      </c>
      <c r="B16">
        <f t="shared" si="2"/>
        <v>7286</v>
      </c>
      <c r="C16" t="str">
        <f>IFERROR(INDEX(Starter!B:B,MATCH(B16,Starter!A:A,0)),"")</f>
        <v>Meier, Peter</v>
      </c>
      <c r="D16" t="str">
        <f>IFERROR(INDEX(Starter!C:C,MATCH(B16,Starter!A:A,0)),"")</f>
        <v>BC Herzogenaurach</v>
      </c>
      <c r="E16" s="92">
        <f t="shared" si="3"/>
        <v>2164</v>
      </c>
      <c r="F16">
        <f t="shared" si="4"/>
        <v>12</v>
      </c>
      <c r="G16" s="169">
        <f t="shared" si="5"/>
        <v>180.33333331333336</v>
      </c>
      <c r="L16" s="108">
        <f>INDEX(Starter!A:A,ROW()-1)</f>
        <v>38823</v>
      </c>
      <c r="M16">
        <f>INDEX(SchnittGes2!M:M,MATCH(L16,SchnittGes2!L:L,0))+INDEX(Schnitt3!M:M,MATCH(L16,Schnitt3!L:L,0))</f>
        <v>2565</v>
      </c>
      <c r="N16">
        <f>INDEX(SchnittGes2!N:N,MATCH(L16,SchnittGes2!L:L,0))+INDEX(Schnitt3!N:N,MATCH(L16,Schnitt3!L:L,0))</f>
        <v>15</v>
      </c>
      <c r="O16">
        <f t="shared" si="0"/>
        <v>170.999999984</v>
      </c>
      <c r="P16">
        <f t="shared" si="1"/>
        <v>22</v>
      </c>
    </row>
    <row r="17" spans="1:16" x14ac:dyDescent="0.2">
      <c r="A17">
        <f t="shared" si="6"/>
        <v>13</v>
      </c>
      <c r="B17">
        <f t="shared" si="2"/>
        <v>25760</v>
      </c>
      <c r="C17" t="str">
        <f>IFERROR(INDEX(Starter!B:B,MATCH(B17,Starter!A:A,0)),"")</f>
        <v>Inkermann, Matthias</v>
      </c>
      <c r="D17" t="str">
        <f>IFERROR(INDEX(Starter!C:C,MATCH(B17,Starter!A:A,0)),"")</f>
        <v>BC Herzogenaurach</v>
      </c>
      <c r="E17" s="92">
        <f t="shared" si="3"/>
        <v>2693</v>
      </c>
      <c r="F17">
        <f t="shared" si="4"/>
        <v>15</v>
      </c>
      <c r="G17" s="169">
        <f t="shared" si="5"/>
        <v>179.53333329033333</v>
      </c>
      <c r="L17" s="108">
        <f>INDEX(Starter!A:A,ROW()-1)</f>
        <v>38509</v>
      </c>
      <c r="M17">
        <f>INDEX(SchnittGes2!M:M,MATCH(L17,SchnittGes2!L:L,0))+INDEX(Schnitt3!M:M,MATCH(L17,Schnitt3!L:L,0))</f>
        <v>2445</v>
      </c>
      <c r="N17">
        <f>INDEX(SchnittGes2!N:N,MATCH(L17,SchnittGes2!L:L,0))+INDEX(Schnitt3!N:N,MATCH(L17,Schnitt3!L:L,0))</f>
        <v>15</v>
      </c>
      <c r="O17">
        <f t="shared" si="0"/>
        <v>162.99999998300001</v>
      </c>
      <c r="P17">
        <f t="shared" si="1"/>
        <v>27</v>
      </c>
    </row>
    <row r="18" spans="1:16" x14ac:dyDescent="0.2">
      <c r="A18">
        <f t="shared" si="6"/>
        <v>14</v>
      </c>
      <c r="B18">
        <f t="shared" si="2"/>
        <v>25130</v>
      </c>
      <c r="C18" t="str">
        <f>IFERROR(INDEX(Starter!B:B,MATCH(B18,Starter!A:A,0)),"")</f>
        <v>Aumeier, Bernhard</v>
      </c>
      <c r="D18" t="str">
        <f>IFERROR(INDEX(Starter!C:C,MATCH(B18,Starter!A:A,0)),"")</f>
        <v>BC Castra Regina Regensburg</v>
      </c>
      <c r="E18" s="92">
        <f t="shared" si="3"/>
        <v>1256</v>
      </c>
      <c r="F18">
        <f t="shared" si="4"/>
        <v>7</v>
      </c>
      <c r="G18" s="169">
        <f t="shared" si="5"/>
        <v>179.42857139957141</v>
      </c>
      <c r="L18" s="108">
        <f>INDEX(Starter!A:A,ROW()-1)</f>
        <v>7282</v>
      </c>
      <c r="M18">
        <f>INDEX(SchnittGes2!M:M,MATCH(L18,SchnittGes2!L:L,0))+INDEX(Schnitt3!M:M,MATCH(L18,Schnitt3!L:L,0))</f>
        <v>1460</v>
      </c>
      <c r="N18">
        <f>INDEX(SchnittGes2!N:N,MATCH(L18,SchnittGes2!L:L,0))+INDEX(Schnitt3!N:N,MATCH(L18,Schnitt3!L:L,0))</f>
        <v>8</v>
      </c>
      <c r="O18">
        <f t="shared" si="0"/>
        <v>182.49999998199999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38571</v>
      </c>
      <c r="C19" t="str">
        <f>IFERROR(INDEX(Starter!B:B,MATCH(B19,Starter!A:A,0)),"")</f>
        <v>Simon, Steven</v>
      </c>
      <c r="D19" t="str">
        <f>IFERROR(INDEX(Starter!C:C,MATCH(B19,Starter!A:A,0)),"")</f>
        <v>BC Castra Regina Regensburg</v>
      </c>
      <c r="E19" s="92">
        <f t="shared" si="3"/>
        <v>1254</v>
      </c>
      <c r="F19">
        <f t="shared" si="4"/>
        <v>7</v>
      </c>
      <c r="G19" s="169">
        <f t="shared" si="5"/>
        <v>179.14285711985713</v>
      </c>
      <c r="L19" s="108">
        <f>INDEX(Starter!A:A,ROW()-1)</f>
        <v>25378</v>
      </c>
      <c r="M19">
        <f>INDEX(SchnittGes2!M:M,MATCH(L19,SchnittGes2!L:L,0))+INDEX(Schnitt3!M:M,MATCH(L19,Schnitt3!L:L,0))</f>
        <v>2307</v>
      </c>
      <c r="N19">
        <f>INDEX(SchnittGes2!N:N,MATCH(L19,SchnittGes2!L:L,0))+INDEX(Schnitt3!N:N,MATCH(L19,Schnitt3!L:L,0))</f>
        <v>13</v>
      </c>
      <c r="O19">
        <f t="shared" si="0"/>
        <v>177.46153844253845</v>
      </c>
      <c r="P19">
        <f t="shared" si="1"/>
        <v>17</v>
      </c>
    </row>
    <row r="20" spans="1:16" x14ac:dyDescent="0.2">
      <c r="A20">
        <f t="shared" si="6"/>
        <v>16</v>
      </c>
      <c r="B20">
        <f t="shared" si="2"/>
        <v>16707</v>
      </c>
      <c r="C20" t="str">
        <f>IFERROR(INDEX(Starter!B:B,MATCH(B20,Starter!A:A,0)),"")</f>
        <v>Beier, Thomas</v>
      </c>
      <c r="D20" t="str">
        <f>IFERROR(INDEX(Starter!C:C,MATCH(B20,Starter!A:A,0)),"")</f>
        <v>BC Adler Nürnberg</v>
      </c>
      <c r="E20" s="92">
        <f t="shared" si="3"/>
        <v>2673</v>
      </c>
      <c r="F20">
        <f t="shared" si="4"/>
        <v>15</v>
      </c>
      <c r="G20" s="169">
        <f t="shared" si="5"/>
        <v>178.19999995799998</v>
      </c>
      <c r="L20" s="108">
        <f>INDEX(Starter!A:A,ROW()-1)</f>
        <v>7286</v>
      </c>
      <c r="M20">
        <f>INDEX(SchnittGes2!M:M,MATCH(L20,SchnittGes2!L:L,0))+INDEX(Schnitt3!M:M,MATCH(L20,Schnitt3!L:L,0))</f>
        <v>2164</v>
      </c>
      <c r="N20">
        <f>INDEX(SchnittGes2!N:N,MATCH(L20,SchnittGes2!L:L,0))+INDEX(Schnitt3!N:N,MATCH(L20,Schnitt3!L:L,0))</f>
        <v>12</v>
      </c>
      <c r="O20">
        <f t="shared" si="0"/>
        <v>180.33333331333336</v>
      </c>
      <c r="P20">
        <f t="shared" si="1"/>
        <v>12</v>
      </c>
    </row>
    <row r="21" spans="1:16" x14ac:dyDescent="0.2">
      <c r="A21">
        <f t="shared" si="6"/>
        <v>17</v>
      </c>
      <c r="B21">
        <f t="shared" si="2"/>
        <v>25378</v>
      </c>
      <c r="C21" t="str">
        <f>IFERROR(INDEX(Starter!B:B,MATCH(B21,Starter!A:A,0)),"")</f>
        <v>Arnold, Nadine</v>
      </c>
      <c r="D21" t="str">
        <f>IFERROR(INDEX(Starter!C:C,MATCH(B21,Starter!A:A,0)),"")</f>
        <v>BC Herzogenaurach</v>
      </c>
      <c r="E21" s="92">
        <f t="shared" si="3"/>
        <v>2307</v>
      </c>
      <c r="F21">
        <f t="shared" si="4"/>
        <v>13</v>
      </c>
      <c r="G21" s="169">
        <f t="shared" si="5"/>
        <v>177.46153844253845</v>
      </c>
      <c r="L21" s="108">
        <f>INDEX(Starter!A:A,ROW()-1)</f>
        <v>7283</v>
      </c>
      <c r="M21">
        <f>INDEX(SchnittGes2!M:M,MATCH(L21,SchnittGes2!L:L,0))+INDEX(Schnitt3!M:M,MATCH(L21,Schnitt3!L:L,0))</f>
        <v>1667</v>
      </c>
      <c r="N21">
        <f>INDEX(SchnittGes2!N:N,MATCH(L21,SchnittGes2!L:L,0))+INDEX(Schnitt3!N:N,MATCH(L21,Schnitt3!L:L,0))</f>
        <v>10</v>
      </c>
      <c r="O21">
        <f t="shared" si="0"/>
        <v>166.69999997899998</v>
      </c>
      <c r="P21">
        <f t="shared" si="1"/>
        <v>26</v>
      </c>
    </row>
    <row r="22" spans="1:16" x14ac:dyDescent="0.2">
      <c r="A22">
        <f t="shared" si="6"/>
        <v>18</v>
      </c>
      <c r="B22">
        <f t="shared" si="2"/>
        <v>7714</v>
      </c>
      <c r="C22" t="str">
        <f>IFERROR(INDEX(Starter!B:B,MATCH(B22,Starter!A:A,0)),"")</f>
        <v>Doßler, Thomas</v>
      </c>
      <c r="D22" t="str">
        <f>IFERROR(INDEX(Starter!C:C,MATCH(B22,Starter!A:A,0)),"")</f>
        <v>BC Adler Nürnberg</v>
      </c>
      <c r="E22" s="92">
        <f t="shared" si="3"/>
        <v>1742</v>
      </c>
      <c r="F22">
        <f t="shared" si="4"/>
        <v>10</v>
      </c>
      <c r="G22" s="169">
        <f t="shared" si="5"/>
        <v>174.19999996099997</v>
      </c>
      <c r="L22" s="108">
        <f>INDEX(Starter!A:A,ROW()-1)</f>
        <v>38046</v>
      </c>
      <c r="M22">
        <f>INDEX(SchnittGes2!M:M,MATCH(L22,SchnittGes2!L:L,0))+INDEX(Schnitt3!M:M,MATCH(L22,Schnitt3!L:L,0))</f>
        <v>3063</v>
      </c>
      <c r="N22">
        <f>INDEX(SchnittGes2!N:N,MATCH(L22,SchnittGes2!L:L,0))+INDEX(Schnitt3!N:N,MATCH(L22,Schnitt3!L:L,0))</f>
        <v>15</v>
      </c>
      <c r="O22">
        <f t="shared" si="0"/>
        <v>204.19999997799999</v>
      </c>
      <c r="P22">
        <f t="shared" si="1"/>
        <v>1</v>
      </c>
    </row>
    <row r="23" spans="1:16" x14ac:dyDescent="0.2">
      <c r="A23">
        <f t="shared" si="6"/>
        <v>19</v>
      </c>
      <c r="B23">
        <f t="shared" si="2"/>
        <v>9936</v>
      </c>
      <c r="C23" t="str">
        <f>IFERROR(INDEX(Starter!B:B,MATCH(B23,Starter!A:A,0)),"")</f>
        <v>Fischer, Nick</v>
      </c>
      <c r="D23" t="str">
        <f>IFERROR(INDEX(Starter!C:C,MATCH(B23,Starter!A:A,0)),"")</f>
        <v>Kings Club Bayreuth</v>
      </c>
      <c r="E23" s="92">
        <f t="shared" si="3"/>
        <v>1729</v>
      </c>
      <c r="F23">
        <f t="shared" si="4"/>
        <v>10</v>
      </c>
      <c r="G23" s="169">
        <f t="shared" si="5"/>
        <v>172.89999999100002</v>
      </c>
      <c r="L23" s="108">
        <f>INDEX(Starter!A:A,ROW()-1)</f>
        <v>38571</v>
      </c>
      <c r="M23">
        <f>INDEX(SchnittGes2!M:M,MATCH(L23,SchnittGes2!L:L,0))+INDEX(Schnitt3!M:M,MATCH(L23,Schnitt3!L:L,0))</f>
        <v>1254</v>
      </c>
      <c r="N23">
        <f>INDEX(SchnittGes2!N:N,MATCH(L23,SchnittGes2!L:L,0))+INDEX(Schnitt3!N:N,MATCH(L23,Schnitt3!L:L,0))</f>
        <v>7</v>
      </c>
      <c r="O23">
        <f t="shared" si="0"/>
        <v>179.14285711985713</v>
      </c>
      <c r="P23">
        <f t="shared" si="1"/>
        <v>15</v>
      </c>
    </row>
    <row r="24" spans="1:16" x14ac:dyDescent="0.2">
      <c r="A24">
        <f t="shared" si="6"/>
        <v>20</v>
      </c>
      <c r="B24">
        <f t="shared" si="2"/>
        <v>25811</v>
      </c>
      <c r="C24" t="str">
        <f>IFERROR(INDEX(Starter!B:B,MATCH(B24,Starter!A:A,0)),"")</f>
        <v>Schmelzl, Werner</v>
      </c>
      <c r="D24" t="str">
        <f>IFERROR(INDEX(Starter!C:C,MATCH(B24,Starter!A:A,0)),"")</f>
        <v>BC Adler Nürnberg</v>
      </c>
      <c r="E24" s="92">
        <f t="shared" si="3"/>
        <v>2573</v>
      </c>
      <c r="F24">
        <f t="shared" si="4"/>
        <v>15</v>
      </c>
      <c r="G24" s="169">
        <f t="shared" si="5"/>
        <v>171.53333329333333</v>
      </c>
      <c r="L24" s="108">
        <f>INDEX(Starter!A:A,ROW()-1)</f>
        <v>38870</v>
      </c>
      <c r="M24">
        <f>INDEX(SchnittGes2!M:M,MATCH(L24,SchnittGes2!L:L,0))+INDEX(Schnitt3!M:M,MATCH(L24,Schnitt3!L:L,0))</f>
        <v>2309</v>
      </c>
      <c r="N24">
        <f>INDEX(SchnittGes2!N:N,MATCH(L24,SchnittGes2!L:L,0))+INDEX(Schnitt3!N:N,MATCH(L24,Schnitt3!L:L,0))</f>
        <v>15</v>
      </c>
      <c r="O24">
        <f t="shared" si="0"/>
        <v>153.93333330933334</v>
      </c>
      <c r="P24">
        <f t="shared" si="1"/>
        <v>32</v>
      </c>
    </row>
    <row r="25" spans="1:16" x14ac:dyDescent="0.2">
      <c r="A25">
        <f t="shared" si="6"/>
        <v>21</v>
      </c>
      <c r="B25">
        <f t="shared" si="2"/>
        <v>38661</v>
      </c>
      <c r="C25" t="str">
        <f>IFERROR(INDEX(Starter!B:B,MATCH(B25,Starter!A:A,0)),"")</f>
        <v>Katholing, Jürgen</v>
      </c>
      <c r="D25" t="str">
        <f>IFERROR(INDEX(Starter!C:C,MATCH(B25,Starter!A:A,0)),"")</f>
        <v>Kings Club Bayreuth</v>
      </c>
      <c r="E25" s="92">
        <f t="shared" si="3"/>
        <v>1711</v>
      </c>
      <c r="F25">
        <f t="shared" si="4"/>
        <v>10</v>
      </c>
      <c r="G25" s="169">
        <f t="shared" si="5"/>
        <v>171.099999986</v>
      </c>
      <c r="L25" s="108">
        <f>INDEX(Starter!A:A,ROW()-1)</f>
        <v>7809</v>
      </c>
      <c r="M25">
        <f>INDEX(SchnittGes2!M:M,MATCH(L25,SchnittGes2!L:L,0))+INDEX(Schnitt3!M:M,MATCH(L25,Schnitt3!L:L,0))</f>
        <v>313</v>
      </c>
      <c r="N25">
        <f>INDEX(SchnittGes2!N:N,MATCH(L25,SchnittGes2!L:L,0))+INDEX(Schnitt3!N:N,MATCH(L25,Schnitt3!L:L,0))</f>
        <v>2</v>
      </c>
      <c r="O25">
        <f t="shared" si="0"/>
        <v>156.49999997500001</v>
      </c>
      <c r="P25">
        <f t="shared" si="1"/>
        <v>31</v>
      </c>
    </row>
    <row r="26" spans="1:16" x14ac:dyDescent="0.2">
      <c r="A26">
        <f t="shared" si="6"/>
        <v>22</v>
      </c>
      <c r="B26">
        <f t="shared" si="2"/>
        <v>38823</v>
      </c>
      <c r="C26" t="str">
        <f>IFERROR(INDEX(Starter!B:B,MATCH(B26,Starter!A:A,0)),"")</f>
        <v>Sommerer, Stefan</v>
      </c>
      <c r="D26" t="str">
        <f>IFERROR(INDEX(Starter!C:C,MATCH(B26,Starter!A:A,0)),"")</f>
        <v>Kings Club Bayreuth</v>
      </c>
      <c r="E26" s="92">
        <f t="shared" si="3"/>
        <v>2565</v>
      </c>
      <c r="F26">
        <f t="shared" si="4"/>
        <v>15</v>
      </c>
      <c r="G26" s="169">
        <f t="shared" si="5"/>
        <v>170.999999984</v>
      </c>
      <c r="L26" s="108">
        <f>INDEX(Starter!A:A,ROW()-1)</f>
        <v>7814</v>
      </c>
      <c r="M26">
        <f>INDEX(SchnittGes2!M:M,MATCH(L26,SchnittGes2!L:L,0))+INDEX(Schnitt3!M:M,MATCH(L26,Schnitt3!L:L,0))</f>
        <v>1881</v>
      </c>
      <c r="N26">
        <f>INDEX(SchnittGes2!N:N,MATCH(L26,SchnittGes2!L:L,0))+INDEX(Schnitt3!N:N,MATCH(L26,Schnitt3!L:L,0))</f>
        <v>10</v>
      </c>
      <c r="O26">
        <f t="shared" si="0"/>
        <v>188.09999997399999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7136</v>
      </c>
      <c r="C27" t="str">
        <f>IFERROR(INDEX(Starter!B:B,MATCH(B27,Starter!A:A,0)),"")</f>
        <v>Rühr, Wilfried</v>
      </c>
      <c r="D27" t="str">
        <f>IFERROR(INDEX(Starter!C:C,MATCH(B27,Starter!A:A,0)),"")</f>
        <v>Kings Club Bayreuth</v>
      </c>
      <c r="E27" s="92">
        <f t="shared" si="3"/>
        <v>1689</v>
      </c>
      <c r="F27">
        <f t="shared" si="4"/>
        <v>10</v>
      </c>
      <c r="G27" s="169">
        <f t="shared" si="5"/>
        <v>168.899999998</v>
      </c>
      <c r="L27" s="108">
        <f>INDEX(Starter!A:A,ROW()-1)</f>
        <v>7813</v>
      </c>
      <c r="M27">
        <f>INDEX(SchnittGes2!M:M,MATCH(L27,SchnittGes2!L:L,0))+INDEX(Schnitt3!M:M,MATCH(L27,Schnitt3!L:L,0))</f>
        <v>1883</v>
      </c>
      <c r="N27">
        <f>INDEX(SchnittGes2!N:N,MATCH(L27,SchnittGes2!L:L,0))+INDEX(Schnitt3!N:N,MATCH(L27,Schnitt3!L:L,0))</f>
        <v>10</v>
      </c>
      <c r="O27">
        <f t="shared" si="0"/>
        <v>188.29999997300001</v>
      </c>
      <c r="P27">
        <f t="shared" si="1"/>
        <v>4</v>
      </c>
    </row>
    <row r="28" spans="1:16" x14ac:dyDescent="0.2">
      <c r="A28">
        <f t="shared" si="6"/>
        <v>24</v>
      </c>
      <c r="B28">
        <f t="shared" si="2"/>
        <v>7761</v>
      </c>
      <c r="C28" t="str">
        <f>IFERROR(INDEX(Starter!B:B,MATCH(B28,Starter!A:A,0)),"")</f>
        <v>Schmitt, Peter</v>
      </c>
      <c r="D28" t="str">
        <f>IFERROR(INDEX(Starter!C:C,MATCH(B28,Starter!A:A,0)),"")</f>
        <v>BC Adler Nürnberg</v>
      </c>
      <c r="E28" s="92">
        <f t="shared" si="3"/>
        <v>2020</v>
      </c>
      <c r="F28">
        <f t="shared" si="4"/>
        <v>12</v>
      </c>
      <c r="G28" s="169">
        <f t="shared" si="5"/>
        <v>168.33333329533335</v>
      </c>
      <c r="L28" s="108">
        <f>INDEX(Starter!A:A,ROW()-1)</f>
        <v>7730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0"/>
        <v>0</v>
      </c>
      <c r="P28">
        <f t="shared" si="1"/>
        <v>38</v>
      </c>
    </row>
    <row r="29" spans="1:16" x14ac:dyDescent="0.2">
      <c r="A29">
        <f t="shared" si="6"/>
        <v>25</v>
      </c>
      <c r="B29">
        <f t="shared" si="2"/>
        <v>7128</v>
      </c>
      <c r="C29" t="str">
        <f>IFERROR(INDEX(Starter!B:B,MATCH(B29,Starter!A:A,0)),"")</f>
        <v>Wallner, Harald</v>
      </c>
      <c r="D29" t="str">
        <f>IFERROR(INDEX(Starter!C:C,MATCH(B29,Starter!A:A,0)),"")</f>
        <v>Kings Club Bayreuth</v>
      </c>
      <c r="E29" s="92">
        <f t="shared" si="3"/>
        <v>1678</v>
      </c>
      <c r="F29">
        <f t="shared" si="4"/>
        <v>10</v>
      </c>
      <c r="G29" s="169">
        <f t="shared" si="5"/>
        <v>167.79999999500001</v>
      </c>
      <c r="L29" s="108">
        <f>INDEX(Starter!A:A,ROW()-1)</f>
        <v>25130</v>
      </c>
      <c r="M29">
        <f>INDEX(SchnittGes2!M:M,MATCH(L29,SchnittGes2!L:L,0))+INDEX(Schnitt3!M:M,MATCH(L29,Schnitt3!L:L,0))</f>
        <v>1256</v>
      </c>
      <c r="N29">
        <f>INDEX(SchnittGes2!N:N,MATCH(L29,SchnittGes2!L:L,0))+INDEX(Schnitt3!N:N,MATCH(L29,Schnitt3!L:L,0))</f>
        <v>7</v>
      </c>
      <c r="O29">
        <f t="shared" si="0"/>
        <v>179.42857139957141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7283</v>
      </c>
      <c r="C30" t="str">
        <f>IFERROR(INDEX(Starter!B:B,MATCH(B30,Starter!A:A,0)),"")</f>
        <v>Pichl, Jürgen</v>
      </c>
      <c r="D30" t="str">
        <f>IFERROR(INDEX(Starter!C:C,MATCH(B30,Starter!A:A,0)),"")</f>
        <v>BC Herzogenaurach</v>
      </c>
      <c r="E30" s="92">
        <f t="shared" si="3"/>
        <v>1667</v>
      </c>
      <c r="F30">
        <f t="shared" si="4"/>
        <v>10</v>
      </c>
      <c r="G30" s="169">
        <f t="shared" si="5"/>
        <v>166.69999997899998</v>
      </c>
      <c r="L30" s="108">
        <f>INDEX(Starter!A:A,ROW()-1)</f>
        <v>7854</v>
      </c>
      <c r="M30">
        <f>INDEX(SchnittGes2!M:M,MATCH(L30,SchnittGes2!L:L,0))+INDEX(Schnitt3!M:M,MATCH(L30,Schnitt3!L:L,0))</f>
        <v>0</v>
      </c>
      <c r="N30">
        <f>INDEX(SchnittGes2!N:N,MATCH(L30,SchnittGes2!L:L,0))+INDEX(Schnitt3!N:N,MATCH(L30,Schnitt3!L:L,0))</f>
        <v>0</v>
      </c>
      <c r="O30">
        <f t="shared" si="0"/>
        <v>0</v>
      </c>
      <c r="P30">
        <f t="shared" si="1"/>
        <v>38</v>
      </c>
    </row>
    <row r="31" spans="1:16" x14ac:dyDescent="0.2">
      <c r="A31">
        <f t="shared" si="6"/>
        <v>27</v>
      </c>
      <c r="B31">
        <f t="shared" si="2"/>
        <v>38509</v>
      </c>
      <c r="C31" t="str">
        <f>IFERROR(INDEX(Starter!B:B,MATCH(B31,Starter!A:A,0)),"")</f>
        <v>Zahiri, Ali</v>
      </c>
      <c r="D31" t="str">
        <f>IFERROR(INDEX(Starter!C:C,MATCH(B31,Starter!A:A,0)),"")</f>
        <v>Kings Club Bayreuth</v>
      </c>
      <c r="E31" s="92">
        <f t="shared" si="3"/>
        <v>2445</v>
      </c>
      <c r="F31">
        <f t="shared" si="4"/>
        <v>15</v>
      </c>
      <c r="G31" s="169">
        <f t="shared" si="5"/>
        <v>162.99999998300001</v>
      </c>
      <c r="L31" s="108">
        <f>INDEX(Starter!A:A,ROW()-1)</f>
        <v>7849</v>
      </c>
      <c r="M31">
        <f>INDEX(SchnittGes2!M:M,MATCH(L31,SchnittGes2!L:L,0))+INDEX(Schnitt3!M:M,MATCH(L31,Schnitt3!L:L,0))</f>
        <v>1828</v>
      </c>
      <c r="N31">
        <f>INDEX(SchnittGes2!N:N,MATCH(L31,SchnittGes2!L:L,0))+INDEX(Schnitt3!N:N,MATCH(L31,Schnitt3!L:L,0))</f>
        <v>10</v>
      </c>
      <c r="O31">
        <f t="shared" si="0"/>
        <v>182.799999969</v>
      </c>
      <c r="P31">
        <f t="shared" si="1"/>
        <v>8</v>
      </c>
    </row>
    <row r="32" spans="1:16" x14ac:dyDescent="0.2">
      <c r="A32">
        <f t="shared" si="6"/>
        <v>28</v>
      </c>
      <c r="B32">
        <f t="shared" si="2"/>
        <v>25944</v>
      </c>
      <c r="C32" t="str">
        <f>IFERROR(INDEX(Starter!B:B,MATCH(B32,Starter!A:A,0)),"")</f>
        <v>Kohl, Oswald</v>
      </c>
      <c r="D32" t="str">
        <f>IFERROR(INDEX(Starter!C:C,MATCH(B32,Starter!A:A,0)),"")</f>
        <v>BC Adler Nürnberg</v>
      </c>
      <c r="E32" s="92">
        <f t="shared" si="3"/>
        <v>1301</v>
      </c>
      <c r="F32">
        <f t="shared" si="4"/>
        <v>8</v>
      </c>
      <c r="G32" s="169">
        <f t="shared" si="5"/>
        <v>162.62499995900001</v>
      </c>
      <c r="L32" s="108">
        <f>INDEX(Starter!A:A,ROW()-1)</f>
        <v>38869</v>
      </c>
      <c r="M32">
        <f>INDEX(SchnittGes2!M:M,MATCH(L32,SchnittGes2!L:L,0))+INDEX(Schnitt3!M:M,MATCH(L32,Schnitt3!L:L,0))</f>
        <v>1507</v>
      </c>
      <c r="N32">
        <f>INDEX(SchnittGes2!N:N,MATCH(L32,SchnittGes2!L:L,0))+INDEX(Schnitt3!N:N,MATCH(L32,Schnitt3!L:L,0))</f>
        <v>10</v>
      </c>
      <c r="O32">
        <f t="shared" si="0"/>
        <v>150.69999996799999</v>
      </c>
      <c r="P32">
        <f t="shared" si="1"/>
        <v>34</v>
      </c>
    </row>
    <row r="33" spans="1:16" x14ac:dyDescent="0.2">
      <c r="A33">
        <f t="shared" si="6"/>
        <v>29</v>
      </c>
      <c r="B33">
        <f t="shared" si="2"/>
        <v>38570</v>
      </c>
      <c r="C33" t="str">
        <f>IFERROR(INDEX(Starter!B:B,MATCH(B33,Starter!A:A,0)),"")</f>
        <v>Bothe, Willi</v>
      </c>
      <c r="D33" t="str">
        <f>IFERROR(INDEX(Starter!C:C,MATCH(B33,Starter!A:A,0)),"")</f>
        <v>BC Castra Regina Regensburg</v>
      </c>
      <c r="E33" s="92">
        <f t="shared" si="3"/>
        <v>1294</v>
      </c>
      <c r="F33">
        <f t="shared" si="4"/>
        <v>8</v>
      </c>
      <c r="G33" s="169">
        <f t="shared" si="5"/>
        <v>161.749999965</v>
      </c>
      <c r="L33" s="108">
        <f>INDEX(Starter!A:A,ROW()-1)</f>
        <v>25895</v>
      </c>
      <c r="M33">
        <f>INDEX(SchnittGes2!M:M,MATCH(L33,SchnittGes2!L:L,0))+INDEX(Schnitt3!M:M,MATCH(L33,Schnitt3!L:L,0))</f>
        <v>1995</v>
      </c>
      <c r="N33">
        <f>INDEX(SchnittGes2!N:N,MATCH(L33,SchnittGes2!L:L,0))+INDEX(Schnitt3!N:N,MATCH(L33,Schnitt3!L:L,0))</f>
        <v>11</v>
      </c>
      <c r="O33">
        <f t="shared" si="0"/>
        <v>181.36363633063638</v>
      </c>
      <c r="P33">
        <f t="shared" si="1"/>
        <v>11</v>
      </c>
    </row>
    <row r="34" spans="1:16" x14ac:dyDescent="0.2">
      <c r="A34">
        <f t="shared" si="6"/>
        <v>30</v>
      </c>
      <c r="B34">
        <f t="shared" si="2"/>
        <v>25479</v>
      </c>
      <c r="C34" t="str">
        <f>IFERROR(INDEX(Starter!B:B,MATCH(B34,Starter!A:A,0)),"")</f>
        <v>Theisen, Alexander</v>
      </c>
      <c r="D34" t="str">
        <f>IFERROR(INDEX(Starter!C:C,MATCH(B34,Starter!A:A,0)),"")</f>
        <v>Kings Club Bayreuth</v>
      </c>
      <c r="E34" s="92">
        <f t="shared" si="3"/>
        <v>1588</v>
      </c>
      <c r="F34">
        <f t="shared" si="4"/>
        <v>10</v>
      </c>
      <c r="G34" s="169">
        <f t="shared" si="5"/>
        <v>158.79999999600003</v>
      </c>
      <c r="L34" s="108">
        <f>INDEX(Starter!A:A,ROW()-1)</f>
        <v>38260</v>
      </c>
      <c r="M34">
        <f>INDEX(SchnittGes2!M:M,MATCH(L34,SchnittGes2!L:L,0))+INDEX(Schnitt3!M:M,MATCH(L34,Schnitt3!L:L,0))</f>
        <v>949</v>
      </c>
      <c r="N34">
        <f>INDEX(SchnittGes2!N:N,MATCH(L34,SchnittGes2!L:L,0))+INDEX(Schnitt3!N:N,MATCH(L34,Schnitt3!L:L,0))</f>
        <v>5</v>
      </c>
      <c r="O34">
        <f t="shared" si="0"/>
        <v>189.799999966</v>
      </c>
      <c r="P34">
        <f t="shared" si="1"/>
        <v>3</v>
      </c>
    </row>
    <row r="35" spans="1:16" x14ac:dyDescent="0.2">
      <c r="A35">
        <f t="shared" si="6"/>
        <v>31</v>
      </c>
      <c r="B35">
        <f t="shared" si="2"/>
        <v>7809</v>
      </c>
      <c r="C35" t="str">
        <f>IFERROR(INDEX(Starter!B:B,MATCH(B35,Starter!A:A,0)),"")</f>
        <v>Graml, Christian</v>
      </c>
      <c r="D35" t="str">
        <f>IFERROR(INDEX(Starter!C:C,MATCH(B35,Starter!A:A,0)),"")</f>
        <v>BC Castra Regina Regensburg</v>
      </c>
      <c r="E35" s="92">
        <f t="shared" si="3"/>
        <v>313</v>
      </c>
      <c r="F35">
        <f t="shared" si="4"/>
        <v>2</v>
      </c>
      <c r="G35" s="169">
        <f t="shared" si="5"/>
        <v>156.49999997500001</v>
      </c>
      <c r="L35" s="108">
        <f>INDEX(Starter!A:A,ROW()-1)</f>
        <v>38570</v>
      </c>
      <c r="M35">
        <f>INDEX(SchnittGes2!M:M,MATCH(L35,SchnittGes2!L:L,0))+INDEX(Schnitt3!M:M,MATCH(L35,Schnitt3!L:L,0))</f>
        <v>1294</v>
      </c>
      <c r="N35">
        <f>INDEX(SchnittGes2!N:N,MATCH(L35,SchnittGes2!L:L,0))+INDEX(Schnitt3!N:N,MATCH(L35,Schnitt3!L:L,0))</f>
        <v>8</v>
      </c>
      <c r="O35">
        <f t="shared" si="0"/>
        <v>161.749999965</v>
      </c>
      <c r="P35">
        <f t="shared" si="1"/>
        <v>29</v>
      </c>
    </row>
    <row r="36" spans="1:16" x14ac:dyDescent="0.2">
      <c r="A36">
        <f t="shared" si="6"/>
        <v>32</v>
      </c>
      <c r="B36">
        <f t="shared" si="2"/>
        <v>38870</v>
      </c>
      <c r="C36" t="str">
        <f>IFERROR(INDEX(Starter!B:B,MATCH(B36,Starter!A:A,0)),"")</f>
        <v>Martin, Dennis</v>
      </c>
      <c r="D36" t="str">
        <f>IFERROR(INDEX(Starter!C:C,MATCH(B36,Starter!A:A,0)),"")</f>
        <v>BC Castra Regina Regensburg</v>
      </c>
      <c r="E36" s="92">
        <f t="shared" si="3"/>
        <v>2309</v>
      </c>
      <c r="F36">
        <f t="shared" si="4"/>
        <v>15</v>
      </c>
      <c r="G36" s="169">
        <f t="shared" si="5"/>
        <v>153.93333330933334</v>
      </c>
      <c r="L36" s="108">
        <f>INDEX(Starter!A:A,ROW()-1)</f>
        <v>25723</v>
      </c>
      <c r="M36">
        <f>INDEX(SchnittGes2!M:M,MATCH(L36,SchnittGes2!L:L,0))+INDEX(Schnitt3!M:M,MATCH(L36,Schnitt3!L:L,0))</f>
        <v>969</v>
      </c>
      <c r="N36">
        <f>INDEX(SchnittGes2!N:N,MATCH(L36,SchnittGes2!L:L,0))+INDEX(Schnitt3!N:N,MATCH(L36,Schnitt3!L:L,0))</f>
        <v>5</v>
      </c>
      <c r="O36">
        <f t="shared" si="0"/>
        <v>193.79999996400002</v>
      </c>
      <c r="P36">
        <f t="shared" si="1"/>
        <v>2</v>
      </c>
    </row>
    <row r="37" spans="1:16" x14ac:dyDescent="0.2">
      <c r="A37">
        <f t="shared" si="6"/>
        <v>33</v>
      </c>
      <c r="B37">
        <f t="shared" si="2"/>
        <v>16897</v>
      </c>
      <c r="C37" t="str">
        <f>IFERROR(INDEX(Starter!B:B,MATCH(B37,Starter!A:A,0)),"")</f>
        <v>Hertel, Jürgen</v>
      </c>
      <c r="D37" t="str">
        <f>IFERROR(INDEX(Starter!C:C,MATCH(B37,Starter!A:A,0)),"")</f>
        <v>BC Herzogenaurach</v>
      </c>
      <c r="E37" s="92">
        <f t="shared" si="3"/>
        <v>305</v>
      </c>
      <c r="F37">
        <f t="shared" si="4"/>
        <v>2</v>
      </c>
      <c r="G37" s="169">
        <f t="shared" si="5"/>
        <v>152.49999995600001</v>
      </c>
      <c r="L37" s="108">
        <f>INDEX(Starter!A:A,ROW()-1)</f>
        <v>7816</v>
      </c>
      <c r="M37">
        <f>INDEX(SchnittGes2!M:M,MATCH(L37,SchnittGes2!L:L,0))+INDEX(Schnitt3!M:M,MATCH(L37,Schnitt3!L:L,0))</f>
        <v>919</v>
      </c>
      <c r="N37">
        <f>INDEX(SchnittGes2!N:N,MATCH(L37,SchnittGes2!L:L,0))+INDEX(Schnitt3!N:N,MATCH(L37,Schnitt3!L:L,0))</f>
        <v>5</v>
      </c>
      <c r="O37">
        <f t="shared" si="0"/>
        <v>183.799999963</v>
      </c>
      <c r="P37">
        <f t="shared" si="1"/>
        <v>6</v>
      </c>
    </row>
    <row r="38" spans="1:16" x14ac:dyDescent="0.2">
      <c r="A38">
        <f t="shared" si="6"/>
        <v>34</v>
      </c>
      <c r="B38">
        <f t="shared" si="2"/>
        <v>38869</v>
      </c>
      <c r="C38" t="str">
        <f>IFERROR(INDEX(Starter!B:B,MATCH(B38,Starter!A:A,0)),"")</f>
        <v>Simon, Diana</v>
      </c>
      <c r="D38" t="str">
        <f>IFERROR(INDEX(Starter!C:C,MATCH(B38,Starter!A:A,0)),"")</f>
        <v>BC Castra Regina Regensburg</v>
      </c>
      <c r="E38" s="92">
        <f t="shared" si="3"/>
        <v>1507</v>
      </c>
      <c r="F38">
        <f t="shared" si="4"/>
        <v>10</v>
      </c>
      <c r="G38" s="169">
        <f t="shared" si="5"/>
        <v>150.69999996799999</v>
      </c>
      <c r="L38" s="108">
        <f>INDEX(Starter!A:A,ROW()-1)</f>
        <v>7761</v>
      </c>
      <c r="M38">
        <f>INDEX(SchnittGes2!M:M,MATCH(L38,SchnittGes2!L:L,0))+INDEX(Schnitt3!M:M,MATCH(L38,Schnitt3!L:L,0))</f>
        <v>2020</v>
      </c>
      <c r="N38">
        <f>INDEX(SchnittGes2!N:N,MATCH(L38,SchnittGes2!L:L,0))+INDEX(Schnitt3!N:N,MATCH(L38,Schnitt3!L:L,0))</f>
        <v>12</v>
      </c>
      <c r="O38">
        <f t="shared" si="0"/>
        <v>168.33333329533335</v>
      </c>
      <c r="P38">
        <f t="shared" si="1"/>
        <v>24</v>
      </c>
    </row>
    <row r="39" spans="1:16" x14ac:dyDescent="0.2">
      <c r="A39">
        <f t="shared" si="6"/>
        <v>35</v>
      </c>
      <c r="B39">
        <f t="shared" si="2"/>
        <v>38507</v>
      </c>
      <c r="C39" t="str">
        <f>IFERROR(INDEX(Starter!B:B,MATCH(B39,Starter!A:A,0)),"")</f>
        <v>Piehl, Fred</v>
      </c>
      <c r="D39" t="str">
        <f>IFERROR(INDEX(Starter!C:C,MATCH(B39,Starter!A:A,0)),"")</f>
        <v>Kings Club Bayreuth</v>
      </c>
      <c r="E39" s="92">
        <f t="shared" si="3"/>
        <v>444</v>
      </c>
      <c r="F39">
        <f t="shared" si="4"/>
        <v>3</v>
      </c>
      <c r="G39" s="169">
        <f t="shared" si="5"/>
        <v>147.99999999400001</v>
      </c>
      <c r="L39" s="108">
        <f>INDEX(Starter!A:A,ROW()-1)</f>
        <v>7714</v>
      </c>
      <c r="M39">
        <f>INDEX(SchnittGes2!M:M,MATCH(L39,SchnittGes2!L:L,0))+INDEX(Schnitt3!M:M,MATCH(L39,Schnitt3!L:L,0))</f>
        <v>1742</v>
      </c>
      <c r="N39">
        <f>INDEX(SchnittGes2!N:N,MATCH(L39,SchnittGes2!L:L,0))+INDEX(Schnitt3!N:N,MATCH(L39,Schnitt3!L:L,0))</f>
        <v>10</v>
      </c>
      <c r="O39">
        <f t="shared" si="0"/>
        <v>174.19999996099997</v>
      </c>
      <c r="P39">
        <f t="shared" si="1"/>
        <v>18</v>
      </c>
    </row>
    <row r="40" spans="1:16" x14ac:dyDescent="0.2">
      <c r="A40">
        <f t="shared" si="6"/>
        <v>36</v>
      </c>
      <c r="B40">
        <f t="shared" si="2"/>
        <v>7123</v>
      </c>
      <c r="C40" t="str">
        <f>IFERROR(INDEX(Starter!B:B,MATCH(B40,Starter!A:A,0)),"")</f>
        <v>Reichert, Roland</v>
      </c>
      <c r="D40" t="str">
        <f>IFERROR(INDEX(Starter!C:C,MATCH(B40,Starter!A:A,0)),"")</f>
        <v>Kings Club Bayreuth</v>
      </c>
      <c r="E40" s="92">
        <f t="shared" si="3"/>
        <v>2176</v>
      </c>
      <c r="F40">
        <f t="shared" si="4"/>
        <v>15</v>
      </c>
      <c r="G40" s="169">
        <f t="shared" si="5"/>
        <v>145.06666666366667</v>
      </c>
      <c r="L40" s="108">
        <f>INDEX(Starter!A:A,ROW()-1)</f>
        <v>25811</v>
      </c>
      <c r="M40">
        <f>INDEX(SchnittGes2!M:M,MATCH(L40,SchnittGes2!L:L,0))+INDEX(Schnitt3!M:M,MATCH(L40,Schnitt3!L:L,0))</f>
        <v>2573</v>
      </c>
      <c r="N40">
        <f>INDEX(SchnittGes2!N:N,MATCH(L40,SchnittGes2!L:L,0))+INDEX(Schnitt3!N:N,MATCH(L40,Schnitt3!L:L,0))</f>
        <v>15</v>
      </c>
      <c r="O40">
        <f t="shared" si="0"/>
        <v>171.53333329333333</v>
      </c>
      <c r="P40">
        <f t="shared" si="1"/>
        <v>20</v>
      </c>
    </row>
    <row r="41" spans="1:16" x14ac:dyDescent="0.2">
      <c r="A41">
        <f t="shared" si="6"/>
        <v>37</v>
      </c>
      <c r="B41">
        <f t="shared" si="2"/>
        <v>38152</v>
      </c>
      <c r="C41" t="str">
        <f>IFERROR(INDEX(Starter!B:B,MATCH(B41,Starter!A:A,0)),"")</f>
        <v>Hirsch, Edmund</v>
      </c>
      <c r="D41" t="str">
        <f>IFERROR(INDEX(Starter!C:C,MATCH(B41,Starter!A:A,0)),"")</f>
        <v>Kings Club Bayreuth</v>
      </c>
      <c r="E41" s="92">
        <f t="shared" si="3"/>
        <v>282</v>
      </c>
      <c r="F41">
        <f t="shared" si="4"/>
        <v>2</v>
      </c>
      <c r="G41" s="169">
        <f t="shared" si="5"/>
        <v>140.99999998800001</v>
      </c>
      <c r="L41" s="108">
        <f>INDEX(Starter!A:A,ROW()-1)</f>
        <v>25944</v>
      </c>
      <c r="M41">
        <f>INDEX(SchnittGes2!M:M,MATCH(L41,SchnittGes2!L:L,0))+INDEX(Schnitt3!M:M,MATCH(L41,Schnitt3!L:L,0))</f>
        <v>1301</v>
      </c>
      <c r="N41">
        <f>INDEX(SchnittGes2!N:N,MATCH(L41,SchnittGes2!L:L,0))+INDEX(Schnitt3!N:N,MATCH(L41,Schnitt3!L:L,0))</f>
        <v>8</v>
      </c>
      <c r="O41">
        <f t="shared" si="0"/>
        <v>162.62499995900001</v>
      </c>
      <c r="P41">
        <f t="shared" si="1"/>
        <v>28</v>
      </c>
    </row>
    <row r="42" spans="1:16" x14ac:dyDescent="0.2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92" t="str">
        <f t="shared" si="3"/>
        <v/>
      </c>
      <c r="F42" t="str">
        <f t="shared" si="4"/>
        <v/>
      </c>
      <c r="G42" s="169" t="str">
        <f t="shared" si="5"/>
        <v/>
      </c>
      <c r="L42" s="108">
        <f>INDEX(Starter!A:A,ROW()-1)</f>
        <v>16707</v>
      </c>
      <c r="M42">
        <f>INDEX(SchnittGes2!M:M,MATCH(L42,SchnittGes2!L:L,0))+INDEX(Schnitt3!M:M,MATCH(L42,Schnitt3!L:L,0))</f>
        <v>2673</v>
      </c>
      <c r="N42">
        <f>INDEX(SchnittGes2!N:N,MATCH(L42,SchnittGes2!L:L,0))+INDEX(Schnitt3!N:N,MATCH(L42,Schnitt3!L:L,0))</f>
        <v>15</v>
      </c>
      <c r="O42">
        <f t="shared" si="0"/>
        <v>178.19999995799998</v>
      </c>
      <c r="P42">
        <f t="shared" si="1"/>
        <v>16</v>
      </c>
    </row>
    <row r="43" spans="1:16" x14ac:dyDescent="0.2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92" t="str">
        <f t="shared" si="3"/>
        <v/>
      </c>
      <c r="F43" t="str">
        <f t="shared" si="4"/>
        <v/>
      </c>
      <c r="G43" s="169" t="str">
        <f t="shared" si="5"/>
        <v/>
      </c>
      <c r="L43" s="108">
        <f>INDEX(Starter!A:A,ROW()-1)</f>
        <v>25760</v>
      </c>
      <c r="M43">
        <f>INDEX(SchnittGes2!M:M,MATCH(L43,SchnittGes2!L:L,0))+INDEX(Schnitt3!M:M,MATCH(L43,Schnitt3!L:L,0))</f>
        <v>2693</v>
      </c>
      <c r="N43">
        <f>INDEX(SchnittGes2!N:N,MATCH(L43,SchnittGes2!L:L,0))+INDEX(Schnitt3!N:N,MATCH(L43,Schnitt3!L:L,0))</f>
        <v>15</v>
      </c>
      <c r="O43">
        <f t="shared" si="0"/>
        <v>179.53333329033333</v>
      </c>
      <c r="P43">
        <f t="shared" si="1"/>
        <v>13</v>
      </c>
    </row>
    <row r="44" spans="1:16" x14ac:dyDescent="0.2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92" t="str">
        <f t="shared" si="3"/>
        <v/>
      </c>
      <c r="F44" t="str">
        <f t="shared" si="4"/>
        <v/>
      </c>
      <c r="G44" s="169" t="str">
        <f t="shared" si="5"/>
        <v/>
      </c>
      <c r="L44" s="108">
        <f>INDEX(Starter!A:A,ROW()-1)</f>
        <v>16897</v>
      </c>
      <c r="M44">
        <f>INDEX(SchnittGes2!M:M,MATCH(L44,SchnittGes2!L:L,0))+INDEX(Schnitt3!M:M,MATCH(L44,Schnitt3!L:L,0))</f>
        <v>305</v>
      </c>
      <c r="N44">
        <f>INDEX(SchnittGes2!N:N,MATCH(L44,SchnittGes2!L:L,0))+INDEX(Schnitt3!N:N,MATCH(L44,Schnitt3!L:L,0))</f>
        <v>2</v>
      </c>
      <c r="O44">
        <f t="shared" si="0"/>
        <v>152.49999995600001</v>
      </c>
      <c r="P44">
        <f t="shared" si="1"/>
        <v>33</v>
      </c>
    </row>
    <row r="45" spans="1:16" x14ac:dyDescent="0.2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92" t="str">
        <f t="shared" si="3"/>
        <v/>
      </c>
      <c r="F45" t="str">
        <f t="shared" si="4"/>
        <v/>
      </c>
      <c r="G45" s="169" t="str">
        <f t="shared" si="5"/>
        <v/>
      </c>
      <c r="L45" s="108">
        <f>INDEX(Starter!A:A,ROW()-1)</f>
        <v>7126</v>
      </c>
      <c r="M45">
        <f>INDEX(SchnittGes2!M:M,MATCH(L45,SchnittGes2!L:L,0))+INDEX(Schnitt3!M:M,MATCH(L45,Schnitt3!L:L,0))</f>
        <v>0</v>
      </c>
      <c r="N45">
        <f>INDEX(SchnittGes2!N:N,MATCH(L45,SchnittGes2!L:L,0))+INDEX(Schnitt3!N:N,MATCH(L45,Schnitt3!L:L,0))</f>
        <v>0</v>
      </c>
      <c r="O45">
        <f t="shared" si="0"/>
        <v>0</v>
      </c>
      <c r="P45">
        <f t="shared" si="1"/>
        <v>38</v>
      </c>
    </row>
    <row r="46" spans="1:16" x14ac:dyDescent="0.2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92" t="str">
        <f t="shared" si="3"/>
        <v/>
      </c>
      <c r="F46" t="str">
        <f t="shared" si="4"/>
        <v/>
      </c>
      <c r="G46" s="169" t="str">
        <f t="shared" si="5"/>
        <v/>
      </c>
      <c r="L46" s="108">
        <f>INDEX(Starter!A:A,ROW()-1)</f>
        <v>0</v>
      </c>
      <c r="M46">
        <f>INDEX(SchnittGes2!M:M,MATCH(L46,SchnittGes2!L:L,0))+INDEX(Schnitt3!M:M,MATCH(L46,Schnitt3!L:L,0))</f>
        <v>0</v>
      </c>
      <c r="N46">
        <f>INDEX(SchnittGes2!N:N,MATCH(L46,SchnittGes2!L:L,0))+INDEX(Schnitt3!N:N,MATCH(L46,Schnitt3!L:L,0))</f>
        <v>0</v>
      </c>
      <c r="O46">
        <f t="shared" si="0"/>
        <v>0</v>
      </c>
      <c r="P46">
        <f t="shared" si="1"/>
        <v>38</v>
      </c>
    </row>
    <row r="47" spans="1:16" x14ac:dyDescent="0.2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92" t="str">
        <f t="shared" si="3"/>
        <v/>
      </c>
      <c r="F47" t="str">
        <f t="shared" si="4"/>
        <v/>
      </c>
      <c r="G47" s="169" t="str">
        <f t="shared" si="5"/>
        <v/>
      </c>
      <c r="L47" s="108">
        <f>INDEX(Starter!A:A,ROW()-1)</f>
        <v>0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38</v>
      </c>
    </row>
    <row r="48" spans="1:16" x14ac:dyDescent="0.2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92" t="str">
        <f t="shared" si="3"/>
        <v/>
      </c>
      <c r="F48" t="str">
        <f t="shared" si="4"/>
        <v/>
      </c>
      <c r="G48" s="169" t="str">
        <f t="shared" si="5"/>
        <v/>
      </c>
      <c r="L48" s="108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38</v>
      </c>
    </row>
    <row r="49" spans="1:16" x14ac:dyDescent="0.2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92" t="str">
        <f t="shared" si="3"/>
        <v/>
      </c>
      <c r="F49" t="str">
        <f t="shared" si="4"/>
        <v/>
      </c>
      <c r="G49" s="169" t="str">
        <f t="shared" si="5"/>
        <v/>
      </c>
      <c r="L49" s="108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38</v>
      </c>
    </row>
    <row r="50" spans="1:16" x14ac:dyDescent="0.2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92" t="str">
        <f t="shared" si="3"/>
        <v/>
      </c>
      <c r="F50" t="str">
        <f t="shared" si="4"/>
        <v/>
      </c>
      <c r="G50" s="169" t="str">
        <f t="shared" si="5"/>
        <v/>
      </c>
      <c r="L50" s="108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38</v>
      </c>
    </row>
    <row r="51" spans="1:16" x14ac:dyDescent="0.2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92" t="str">
        <f t="shared" si="3"/>
        <v/>
      </c>
      <c r="F51" t="str">
        <f t="shared" si="4"/>
        <v/>
      </c>
      <c r="G51" s="169" t="str">
        <f t="shared" si="5"/>
        <v/>
      </c>
      <c r="L51" s="108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38</v>
      </c>
    </row>
    <row r="52" spans="1:16" x14ac:dyDescent="0.2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92" t="str">
        <f t="shared" si="3"/>
        <v/>
      </c>
      <c r="F52" t="str">
        <f t="shared" si="4"/>
        <v/>
      </c>
      <c r="G52" s="169" t="str">
        <f t="shared" si="5"/>
        <v/>
      </c>
      <c r="L52" s="108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38</v>
      </c>
    </row>
    <row r="53" spans="1:16" x14ac:dyDescent="0.2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92" t="str">
        <f t="shared" si="3"/>
        <v/>
      </c>
      <c r="F53" t="str">
        <f t="shared" si="4"/>
        <v/>
      </c>
      <c r="G53" s="169" t="str">
        <f t="shared" si="5"/>
        <v/>
      </c>
      <c r="L53" s="108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38</v>
      </c>
    </row>
    <row r="54" spans="1:16" x14ac:dyDescent="0.2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92" t="str">
        <f t="shared" si="3"/>
        <v/>
      </c>
      <c r="F54" t="str">
        <f t="shared" si="4"/>
        <v/>
      </c>
      <c r="G54" s="169" t="str">
        <f t="shared" si="5"/>
        <v/>
      </c>
      <c r="L54" s="108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38</v>
      </c>
    </row>
    <row r="55" spans="1:16" x14ac:dyDescent="0.2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92" t="str">
        <f t="shared" si="3"/>
        <v/>
      </c>
      <c r="F55" t="str">
        <f t="shared" si="4"/>
        <v/>
      </c>
      <c r="G55" s="169" t="str">
        <f t="shared" si="5"/>
        <v/>
      </c>
      <c r="L55" s="108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38</v>
      </c>
    </row>
    <row r="56" spans="1:16" x14ac:dyDescent="0.2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92" t="str">
        <f t="shared" si="3"/>
        <v/>
      </c>
      <c r="F56" t="str">
        <f t="shared" si="4"/>
        <v/>
      </c>
      <c r="G56" s="169" t="str">
        <f t="shared" si="5"/>
        <v/>
      </c>
      <c r="L56" s="108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38</v>
      </c>
    </row>
    <row r="57" spans="1:16" x14ac:dyDescent="0.2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92" t="str">
        <f t="shared" si="3"/>
        <v/>
      </c>
      <c r="F57" t="str">
        <f t="shared" si="4"/>
        <v/>
      </c>
      <c r="G57" s="169" t="str">
        <f t="shared" si="5"/>
        <v/>
      </c>
      <c r="L57" s="108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38</v>
      </c>
    </row>
    <row r="58" spans="1:16" x14ac:dyDescent="0.2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92" t="str">
        <f t="shared" si="3"/>
        <v/>
      </c>
      <c r="F58" t="str">
        <f t="shared" si="4"/>
        <v/>
      </c>
      <c r="G58" s="169" t="str">
        <f t="shared" si="5"/>
        <v/>
      </c>
      <c r="L58" s="108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38</v>
      </c>
    </row>
    <row r="59" spans="1:16" x14ac:dyDescent="0.2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92" t="str">
        <f t="shared" si="3"/>
        <v/>
      </c>
      <c r="F59" t="str">
        <f t="shared" si="4"/>
        <v/>
      </c>
      <c r="G59" s="169" t="str">
        <f t="shared" si="5"/>
        <v/>
      </c>
      <c r="L59" s="108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38</v>
      </c>
    </row>
    <row r="60" spans="1:16" x14ac:dyDescent="0.2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92" t="str">
        <f t="shared" si="3"/>
        <v/>
      </c>
      <c r="F60" t="str">
        <f t="shared" si="4"/>
        <v/>
      </c>
      <c r="G60" s="169" t="str">
        <f t="shared" si="5"/>
        <v/>
      </c>
      <c r="L60" s="108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38</v>
      </c>
    </row>
    <row r="61" spans="1:16" x14ac:dyDescent="0.2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92" t="str">
        <f t="shared" si="3"/>
        <v/>
      </c>
      <c r="F61" t="str">
        <f t="shared" si="4"/>
        <v/>
      </c>
      <c r="G61" s="169" t="str">
        <f t="shared" si="5"/>
        <v/>
      </c>
      <c r="L61" s="108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38</v>
      </c>
    </row>
    <row r="62" spans="1:16" x14ac:dyDescent="0.2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92" t="str">
        <f t="shared" si="3"/>
        <v/>
      </c>
      <c r="F62" t="str">
        <f t="shared" si="4"/>
        <v/>
      </c>
      <c r="G62" s="169" t="str">
        <f t="shared" si="5"/>
        <v/>
      </c>
      <c r="L62" s="108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38</v>
      </c>
    </row>
    <row r="63" spans="1:16" x14ac:dyDescent="0.2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92" t="str">
        <f t="shared" si="3"/>
        <v/>
      </c>
      <c r="F63" t="str">
        <f t="shared" si="4"/>
        <v/>
      </c>
      <c r="G63" s="169" t="str">
        <f t="shared" si="5"/>
        <v/>
      </c>
      <c r="L63" s="108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38</v>
      </c>
    </row>
    <row r="64" spans="1:16" x14ac:dyDescent="0.2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92" t="str">
        <f t="shared" si="3"/>
        <v/>
      </c>
      <c r="F64" t="str">
        <f t="shared" si="4"/>
        <v/>
      </c>
      <c r="G64" s="169" t="str">
        <f t="shared" si="5"/>
        <v/>
      </c>
      <c r="L64" s="108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38</v>
      </c>
    </row>
    <row r="65" spans="1:16" x14ac:dyDescent="0.2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92" t="str">
        <f t="shared" si="3"/>
        <v/>
      </c>
      <c r="F65" t="str">
        <f t="shared" si="4"/>
        <v/>
      </c>
      <c r="G65" s="169" t="str">
        <f t="shared" si="5"/>
        <v/>
      </c>
      <c r="L65" s="108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38</v>
      </c>
    </row>
    <row r="66" spans="1:16" x14ac:dyDescent="0.2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92" t="str">
        <f t="shared" si="3"/>
        <v/>
      </c>
      <c r="F66" t="str">
        <f t="shared" si="4"/>
        <v/>
      </c>
      <c r="G66" s="169" t="str">
        <f t="shared" si="5"/>
        <v/>
      </c>
      <c r="L66" s="108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38</v>
      </c>
    </row>
    <row r="67" spans="1:16" x14ac:dyDescent="0.2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92" t="str">
        <f t="shared" si="3"/>
        <v/>
      </c>
      <c r="F67" t="str">
        <f t="shared" si="4"/>
        <v/>
      </c>
      <c r="G67" s="169" t="str">
        <f t="shared" si="5"/>
        <v/>
      </c>
      <c r="L67" s="108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38</v>
      </c>
    </row>
    <row r="68" spans="1:16" x14ac:dyDescent="0.2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92" t="str">
        <f t="shared" si="3"/>
        <v/>
      </c>
      <c r="F68" t="str">
        <f t="shared" si="4"/>
        <v/>
      </c>
      <c r="G68" s="169" t="str">
        <f t="shared" si="5"/>
        <v/>
      </c>
      <c r="L68" s="108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38</v>
      </c>
    </row>
    <row r="69" spans="1:16" x14ac:dyDescent="0.2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92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69" t="str">
        <f t="shared" ref="G69:G104" si="12">IFERROR(INDEX(O:O,MATCH(A69,P:P,0)),"")</f>
        <v/>
      </c>
      <c r="L69" s="108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38</v>
      </c>
    </row>
    <row r="70" spans="1:16" x14ac:dyDescent="0.2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92" t="str">
        <f t="shared" si="10"/>
        <v/>
      </c>
      <c r="F70" t="str">
        <f t="shared" si="11"/>
        <v/>
      </c>
      <c r="G70" s="169" t="str">
        <f t="shared" si="12"/>
        <v/>
      </c>
      <c r="L70" s="108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38</v>
      </c>
    </row>
    <row r="71" spans="1:16" x14ac:dyDescent="0.2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92" t="str">
        <f t="shared" si="10"/>
        <v/>
      </c>
      <c r="F71" t="str">
        <f t="shared" si="11"/>
        <v/>
      </c>
      <c r="G71" s="169" t="str">
        <f t="shared" si="12"/>
        <v/>
      </c>
      <c r="L71" s="108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38</v>
      </c>
    </row>
    <row r="72" spans="1:16" x14ac:dyDescent="0.2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92" t="str">
        <f t="shared" si="10"/>
        <v/>
      </c>
      <c r="F72" t="str">
        <f t="shared" si="11"/>
        <v/>
      </c>
      <c r="G72" s="169" t="str">
        <f t="shared" si="12"/>
        <v/>
      </c>
      <c r="L72" s="108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38</v>
      </c>
    </row>
    <row r="73" spans="1:16" x14ac:dyDescent="0.2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92" t="str">
        <f t="shared" si="10"/>
        <v/>
      </c>
      <c r="F73" t="str">
        <f t="shared" si="11"/>
        <v/>
      </c>
      <c r="G73" s="169" t="str">
        <f t="shared" si="12"/>
        <v/>
      </c>
      <c r="L73" s="108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38</v>
      </c>
    </row>
    <row r="74" spans="1:16" x14ac:dyDescent="0.2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92" t="str">
        <f t="shared" si="10"/>
        <v/>
      </c>
      <c r="F74" t="str">
        <f t="shared" si="11"/>
        <v/>
      </c>
      <c r="G74" s="169" t="str">
        <f t="shared" si="12"/>
        <v/>
      </c>
      <c r="L74" s="108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38</v>
      </c>
    </row>
    <row r="75" spans="1:16" x14ac:dyDescent="0.2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92" t="str">
        <f t="shared" si="10"/>
        <v/>
      </c>
      <c r="F75" t="str">
        <f t="shared" si="11"/>
        <v/>
      </c>
      <c r="G75" s="169" t="str">
        <f t="shared" si="12"/>
        <v/>
      </c>
      <c r="L75" s="108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38</v>
      </c>
    </row>
    <row r="76" spans="1:16" x14ac:dyDescent="0.2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92" t="str">
        <f t="shared" si="10"/>
        <v/>
      </c>
      <c r="F76" t="str">
        <f t="shared" si="11"/>
        <v/>
      </c>
      <c r="G76" s="169" t="str">
        <f t="shared" si="12"/>
        <v/>
      </c>
      <c r="L76" s="108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38</v>
      </c>
    </row>
    <row r="77" spans="1:16" x14ac:dyDescent="0.2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92" t="str">
        <f t="shared" si="10"/>
        <v/>
      </c>
      <c r="F77" t="str">
        <f t="shared" si="11"/>
        <v/>
      </c>
      <c r="G77" s="169" t="str">
        <f t="shared" si="12"/>
        <v/>
      </c>
      <c r="L77" s="108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38</v>
      </c>
    </row>
    <row r="78" spans="1:16" x14ac:dyDescent="0.2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92" t="str">
        <f t="shared" si="10"/>
        <v/>
      </c>
      <c r="F78" t="str">
        <f t="shared" si="11"/>
        <v/>
      </c>
      <c r="G78" s="169" t="str">
        <f t="shared" si="12"/>
        <v/>
      </c>
      <c r="L78" s="108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38</v>
      </c>
    </row>
    <row r="79" spans="1:16" x14ac:dyDescent="0.2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92" t="str">
        <f t="shared" si="10"/>
        <v/>
      </c>
      <c r="F79" t="str">
        <f t="shared" si="11"/>
        <v/>
      </c>
      <c r="G79" s="169" t="str">
        <f t="shared" si="12"/>
        <v/>
      </c>
      <c r="L79" s="108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38</v>
      </c>
    </row>
    <row r="80" spans="1:16" x14ac:dyDescent="0.2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92" t="str">
        <f t="shared" si="10"/>
        <v/>
      </c>
      <c r="F80" t="str">
        <f t="shared" si="11"/>
        <v/>
      </c>
      <c r="G80" s="169" t="str">
        <f t="shared" si="12"/>
        <v/>
      </c>
      <c r="L80" s="108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38</v>
      </c>
    </row>
    <row r="81" spans="1:16" x14ac:dyDescent="0.2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92" t="str">
        <f t="shared" si="10"/>
        <v/>
      </c>
      <c r="F81" t="str">
        <f t="shared" si="11"/>
        <v/>
      </c>
      <c r="G81" s="169" t="str">
        <f t="shared" si="12"/>
        <v/>
      </c>
      <c r="L81" s="108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38</v>
      </c>
    </row>
    <row r="82" spans="1:16" x14ac:dyDescent="0.2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92" t="str">
        <f t="shared" si="10"/>
        <v/>
      </c>
      <c r="F82" t="str">
        <f t="shared" si="11"/>
        <v/>
      </c>
      <c r="G82" s="169" t="str">
        <f t="shared" si="12"/>
        <v/>
      </c>
      <c r="L82" s="108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38</v>
      </c>
    </row>
    <row r="83" spans="1:16" x14ac:dyDescent="0.2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92" t="str">
        <f t="shared" si="10"/>
        <v/>
      </c>
      <c r="F83" t="str">
        <f t="shared" si="11"/>
        <v/>
      </c>
      <c r="G83" s="169" t="str">
        <f t="shared" si="12"/>
        <v/>
      </c>
      <c r="L83" s="108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38</v>
      </c>
    </row>
    <row r="84" spans="1:16" x14ac:dyDescent="0.2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92" t="str">
        <f t="shared" si="10"/>
        <v/>
      </c>
      <c r="F84" t="str">
        <f t="shared" si="11"/>
        <v/>
      </c>
      <c r="G84" s="169" t="str">
        <f t="shared" si="12"/>
        <v/>
      </c>
      <c r="L84" s="108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38</v>
      </c>
    </row>
    <row r="85" spans="1:16" x14ac:dyDescent="0.2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92" t="str">
        <f t="shared" si="10"/>
        <v/>
      </c>
      <c r="F85" t="str">
        <f t="shared" si="11"/>
        <v/>
      </c>
      <c r="G85" s="169" t="str">
        <f t="shared" si="12"/>
        <v/>
      </c>
      <c r="L85" s="108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38</v>
      </c>
    </row>
    <row r="86" spans="1:16" x14ac:dyDescent="0.2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92" t="str">
        <f t="shared" si="10"/>
        <v/>
      </c>
      <c r="F86" t="str">
        <f t="shared" si="11"/>
        <v/>
      </c>
      <c r="G86" s="169" t="str">
        <f t="shared" si="12"/>
        <v/>
      </c>
      <c r="L86" s="108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38</v>
      </c>
    </row>
    <row r="87" spans="1:16" x14ac:dyDescent="0.2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92" t="str">
        <f t="shared" si="10"/>
        <v/>
      </c>
      <c r="F87" t="str">
        <f t="shared" si="11"/>
        <v/>
      </c>
      <c r="G87" s="169" t="str">
        <f t="shared" si="12"/>
        <v/>
      </c>
      <c r="L87" s="108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38</v>
      </c>
    </row>
    <row r="88" spans="1:16" x14ac:dyDescent="0.2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92" t="str">
        <f t="shared" si="10"/>
        <v/>
      </c>
      <c r="F88" t="str">
        <f t="shared" si="11"/>
        <v/>
      </c>
      <c r="G88" s="169" t="str">
        <f t="shared" si="12"/>
        <v/>
      </c>
      <c r="L88" s="108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38</v>
      </c>
    </row>
    <row r="89" spans="1:16" x14ac:dyDescent="0.2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92" t="str">
        <f t="shared" si="10"/>
        <v/>
      </c>
      <c r="F89" t="str">
        <f t="shared" si="11"/>
        <v/>
      </c>
      <c r="G89" s="169" t="str">
        <f t="shared" si="12"/>
        <v/>
      </c>
      <c r="L89" s="108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38</v>
      </c>
    </row>
    <row r="90" spans="1:16" x14ac:dyDescent="0.2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92" t="str">
        <f t="shared" si="10"/>
        <v/>
      </c>
      <c r="F90" t="str">
        <f t="shared" si="11"/>
        <v/>
      </c>
      <c r="G90" s="169" t="str">
        <f t="shared" si="12"/>
        <v/>
      </c>
      <c r="L90" s="108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38</v>
      </c>
    </row>
    <row r="91" spans="1:16" x14ac:dyDescent="0.2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92" t="str">
        <f t="shared" si="10"/>
        <v/>
      </c>
      <c r="F91" t="str">
        <f t="shared" si="11"/>
        <v/>
      </c>
      <c r="G91" s="169" t="str">
        <f t="shared" si="12"/>
        <v/>
      </c>
      <c r="L91" s="108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38</v>
      </c>
    </row>
    <row r="92" spans="1:16" x14ac:dyDescent="0.2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92" t="str">
        <f t="shared" si="10"/>
        <v/>
      </c>
      <c r="F92" t="str">
        <f t="shared" si="11"/>
        <v/>
      </c>
      <c r="G92" s="169" t="str">
        <f t="shared" si="12"/>
        <v/>
      </c>
      <c r="L92" s="108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38</v>
      </c>
    </row>
    <row r="93" spans="1:16" x14ac:dyDescent="0.2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92" t="str">
        <f t="shared" si="10"/>
        <v/>
      </c>
      <c r="F93" t="str">
        <f t="shared" si="11"/>
        <v/>
      </c>
      <c r="G93" s="169" t="str">
        <f t="shared" si="12"/>
        <v/>
      </c>
      <c r="L93" s="108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38</v>
      </c>
    </row>
    <row r="94" spans="1:16" x14ac:dyDescent="0.2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92" t="str">
        <f t="shared" si="10"/>
        <v/>
      </c>
      <c r="F94" t="str">
        <f t="shared" si="11"/>
        <v/>
      </c>
      <c r="G94" s="169" t="str">
        <f t="shared" si="12"/>
        <v/>
      </c>
      <c r="L94" s="108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38</v>
      </c>
    </row>
    <row r="95" spans="1:16" x14ac:dyDescent="0.2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92" t="str">
        <f t="shared" si="10"/>
        <v/>
      </c>
      <c r="F95" t="str">
        <f t="shared" si="11"/>
        <v/>
      </c>
      <c r="G95" s="169" t="str">
        <f t="shared" si="12"/>
        <v/>
      </c>
      <c r="L95" s="108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38</v>
      </c>
    </row>
    <row r="96" spans="1:16" x14ac:dyDescent="0.2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92" t="str">
        <f t="shared" si="10"/>
        <v/>
      </c>
      <c r="F96" t="str">
        <f t="shared" si="11"/>
        <v/>
      </c>
      <c r="G96" s="169" t="str">
        <f t="shared" si="12"/>
        <v/>
      </c>
      <c r="L96" s="108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38</v>
      </c>
    </row>
    <row r="97" spans="1:16" x14ac:dyDescent="0.2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92" t="str">
        <f t="shared" si="10"/>
        <v/>
      </c>
      <c r="F97" t="str">
        <f t="shared" si="11"/>
        <v/>
      </c>
      <c r="G97" s="169" t="str">
        <f t="shared" si="12"/>
        <v/>
      </c>
      <c r="L97" s="108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38</v>
      </c>
    </row>
    <row r="98" spans="1:16" x14ac:dyDescent="0.2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92" t="str">
        <f t="shared" si="10"/>
        <v/>
      </c>
      <c r="F98" t="str">
        <f t="shared" si="11"/>
        <v/>
      </c>
      <c r="G98" s="169" t="str">
        <f t="shared" si="12"/>
        <v/>
      </c>
      <c r="L98" s="108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38</v>
      </c>
    </row>
    <row r="99" spans="1:16" x14ac:dyDescent="0.2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92" t="str">
        <f t="shared" si="10"/>
        <v/>
      </c>
      <c r="F99" t="str">
        <f t="shared" si="11"/>
        <v/>
      </c>
      <c r="G99" s="169" t="str">
        <f t="shared" si="12"/>
        <v/>
      </c>
      <c r="L99" s="108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38</v>
      </c>
    </row>
    <row r="100" spans="1:16" x14ac:dyDescent="0.2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92" t="str">
        <f t="shared" si="10"/>
        <v/>
      </c>
      <c r="F100" t="str">
        <f t="shared" si="11"/>
        <v/>
      </c>
      <c r="G100" s="169" t="str">
        <f t="shared" si="12"/>
        <v/>
      </c>
      <c r="L100" s="108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38</v>
      </c>
    </row>
    <row r="101" spans="1:16" x14ac:dyDescent="0.2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92" t="str">
        <f t="shared" si="10"/>
        <v/>
      </c>
      <c r="F101" t="str">
        <f t="shared" si="11"/>
        <v/>
      </c>
      <c r="G101" s="169" t="str">
        <f t="shared" si="12"/>
        <v/>
      </c>
      <c r="L101" s="108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38</v>
      </c>
    </row>
    <row r="102" spans="1:16" x14ac:dyDescent="0.2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92" t="str">
        <f t="shared" si="10"/>
        <v/>
      </c>
      <c r="F102" t="str">
        <f t="shared" si="11"/>
        <v/>
      </c>
      <c r="G102" s="169" t="str">
        <f t="shared" si="12"/>
        <v/>
      </c>
      <c r="L102" s="108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38</v>
      </c>
    </row>
    <row r="103" spans="1:16" x14ac:dyDescent="0.2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92" t="str">
        <f t="shared" si="10"/>
        <v/>
      </c>
      <c r="F103" t="str">
        <f t="shared" si="11"/>
        <v/>
      </c>
      <c r="G103" s="169" t="str">
        <f t="shared" si="12"/>
        <v/>
      </c>
      <c r="L103" s="108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38</v>
      </c>
    </row>
    <row r="104" spans="1:16" x14ac:dyDescent="0.2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92" t="str">
        <f t="shared" si="10"/>
        <v/>
      </c>
      <c r="F104" t="str">
        <f t="shared" si="11"/>
        <v/>
      </c>
      <c r="G104" s="169" t="str">
        <f t="shared" si="12"/>
        <v/>
      </c>
      <c r="L104" s="108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38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632DE-A00D-4054-B9BE-C593AA30004A}">
  <sheetPr>
    <tabColor theme="1"/>
    <pageSetUpPr autoPageBreaks="0"/>
  </sheetPr>
  <dimension ref="A1:V86"/>
  <sheetViews>
    <sheetView showGridLines="0" topLeftCell="A72" zoomScaleNormal="100" workbookViewId="0">
      <selection activeCell="D85" sqref="D85:M85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+Spielzettel4!M2</f>
        <v>4</v>
      </c>
      <c r="F6" s="336"/>
      <c r="P6" s="128" t="s">
        <v>1825</v>
      </c>
      <c r="Q6" s="337" t="str">
        <f>+Spielzettel4!L1</f>
        <v>02.03.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+Spielzettel4!D2</f>
        <v>Regensburg Super Bowl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+Spielzettel4!D1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>
        <v>0.3125</v>
      </c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 t="s">
        <v>2370</v>
      </c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 t="s">
        <v>2370</v>
      </c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 t="s">
        <v>2370</v>
      </c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2372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hidden="1" customHeight="1" x14ac:dyDescent="0.2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>
        <v>0.5</v>
      </c>
      <c r="I31" s="145"/>
      <c r="J31" s="147" t="s">
        <v>1841</v>
      </c>
      <c r="K31" s="147"/>
      <c r="L31" s="146">
        <v>0.51041666666666663</v>
      </c>
      <c r="M31" s="147" t="s">
        <v>1830</v>
      </c>
      <c r="N31" s="147"/>
      <c r="O31" s="147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/>
      <c r="H34" t="s">
        <v>1832</v>
      </c>
      <c r="J34" s="137" t="s">
        <v>2370</v>
      </c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/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 t="s">
        <v>2370</v>
      </c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/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20" t="s">
        <v>2543</v>
      </c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20" t="s">
        <v>2544</v>
      </c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1C5BB-2D43-4381-92B4-4A415867BAD1}">
  <sheetPr>
    <tabColor rgb="FFFF0000"/>
  </sheetPr>
  <dimension ref="A1:AC174"/>
  <sheetViews>
    <sheetView view="pageBreakPreview" topLeftCell="A2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Schlüssel!$BU$1</f>
        <v>02.03.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Schlüssel!$BK$2</f>
        <v>Regensburg Super Bowl</v>
      </c>
      <c r="F2" s="77"/>
      <c r="G2" s="77"/>
      <c r="H2" s="77"/>
      <c r="I2" s="77"/>
      <c r="K2" s="77"/>
      <c r="L2" s="29" t="s">
        <v>1784</v>
      </c>
      <c r="M2" s="34">
        <v>4</v>
      </c>
      <c r="N2" s="28"/>
      <c r="AC2" s="91">
        <v>11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VLOOKUP(B2,Schlüssel!$A$5:$DZ$10,73)</f>
        <v>16</v>
      </c>
      <c r="F4" s="47" t="s">
        <v>10</v>
      </c>
      <c r="G4" s="7">
        <f>VLOOKUP(B2,Schlüssel!$A$5:$DZ$10,74)</f>
        <v>12</v>
      </c>
      <c r="H4" s="47" t="s">
        <v>10</v>
      </c>
      <c r="I4" s="7">
        <f>VLOOKUP(B2,Schlüssel!$A$5:$DZ$10,75)</f>
        <v>13</v>
      </c>
      <c r="J4" s="47" t="s">
        <v>10</v>
      </c>
      <c r="K4" s="7">
        <f>VLOOKUP(B2,Schlüssel!$A$5:$DZ$10,76)</f>
        <v>15</v>
      </c>
      <c r="L4" s="47" t="s">
        <v>10</v>
      </c>
      <c r="M4" s="67">
        <f>VLOOKUP(B2,Schlüssel!$A$5:$DZ$10,77)</f>
        <v>11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VLOOKUP(B2,Schlüssel!$A$5:$DZ$10,63)</f>
        <v>3</v>
      </c>
      <c r="E22" s="350"/>
      <c r="F22" s="350">
        <f>VLOOKUP(B2,Schlüssel!$A$5:$DZ$10,64)</f>
        <v>5</v>
      </c>
      <c r="G22" s="350"/>
      <c r="H22" s="350">
        <f>VLOOKUP(B2,Schlüssel!$A$5:$DZ$10,65)</f>
        <v>4</v>
      </c>
      <c r="I22" s="350"/>
      <c r="J22" s="350">
        <f>VLOOKUP(B2,Schlüssel!$A$5:$DZ$10,66)</f>
        <v>2</v>
      </c>
      <c r="K22" s="350"/>
      <c r="L22" s="350">
        <f>VLOOKUP(B2,Schlüssel!$A$5:$DZ$10,67)</f>
        <v>6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Kings Club Bayreuth Land 2</v>
      </c>
      <c r="E23" s="348"/>
      <c r="F23" s="347" t="str">
        <f>VLOOKUP(F22,Schlüssel!$A$5:$K$10,2)</f>
        <v>Castra Regina Regensburg 2</v>
      </c>
      <c r="G23" s="348"/>
      <c r="H23" s="347" t="str">
        <f>VLOOKUP(H22,Schlüssel!$A$5:$K$10,2)</f>
        <v>Kings Club Bayreuth Land 3</v>
      </c>
      <c r="I23" s="348"/>
      <c r="J23" s="347" t="str">
        <f>VLOOKUP(J22,Schlüssel!$A$5:$K$10,2)</f>
        <v>Herzogenaurach 1</v>
      </c>
      <c r="K23" s="348"/>
      <c r="L23" s="347" t="str">
        <f>VLOOKUP(L22,Schlüssel!$A$5:$K$10,2)</f>
        <v>Adler Nürnberg 1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Schlüssel!$BU$1</f>
        <v>02.03.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Schlüssel!$BK$2</f>
        <v>Regensburg Super Bowl</v>
      </c>
      <c r="F31" s="77"/>
      <c r="G31" s="77"/>
      <c r="H31" s="77"/>
      <c r="I31" s="77"/>
      <c r="K31" s="77"/>
      <c r="L31" s="29" t="s">
        <v>1784</v>
      </c>
      <c r="M31" s="34">
        <v>4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VLOOKUP(B31,Schlüssel!$A$5:$DZ$10,73)</f>
        <v>13</v>
      </c>
      <c r="F33" s="47" t="s">
        <v>10</v>
      </c>
      <c r="G33" s="7">
        <f>VLOOKUP(B31,Schlüssel!$A$5:$DZ$10,74)</f>
        <v>15</v>
      </c>
      <c r="H33" s="47" t="s">
        <v>10</v>
      </c>
      <c r="I33" s="7">
        <f>VLOOKUP(B31,Schlüssel!$A$5:$DZ$10,75)</f>
        <v>12</v>
      </c>
      <c r="J33" s="47" t="s">
        <v>10</v>
      </c>
      <c r="K33" s="7">
        <f>VLOOKUP(B31,Schlüssel!$A$5:$DZ$10,76)</f>
        <v>16</v>
      </c>
      <c r="L33" s="47" t="s">
        <v>10</v>
      </c>
      <c r="M33" s="67">
        <f>VLOOKUP(B31,Schlüssel!$A$5:$DZ$10,77)</f>
        <v>14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VLOOKUP(B31,Schlüssel!$A$5:$DZ$10,63)</f>
        <v>5</v>
      </c>
      <c r="E51" s="350"/>
      <c r="F51" s="350">
        <f>VLOOKUP(B31,Schlüssel!$A$5:$DZ$10,64)</f>
        <v>4</v>
      </c>
      <c r="G51" s="350"/>
      <c r="H51" s="350">
        <f>VLOOKUP(B31,Schlüssel!$A$5:$DZ$10,65)</f>
        <v>6</v>
      </c>
      <c r="I51" s="350"/>
      <c r="J51" s="350">
        <f>VLOOKUP(B31,Schlüssel!$A$5:$DZ$10,66)</f>
        <v>1</v>
      </c>
      <c r="K51" s="350"/>
      <c r="L51" s="350">
        <f>VLOOKUP(B31,Schlüssel!$A$5:$DZ$10,67)</f>
        <v>3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Castra Regina Regensburg 2</v>
      </c>
      <c r="E52" s="348"/>
      <c r="F52" s="347" t="str">
        <f>VLOOKUP(F51,Schlüssel!$A$5:$K$10,2)</f>
        <v>Kings Club Bayreuth Land 3</v>
      </c>
      <c r="G52" s="348"/>
      <c r="H52" s="347" t="str">
        <f>VLOOKUP(H51,Schlüssel!$A$5:$K$10,2)</f>
        <v>Adler Nürnberg 1</v>
      </c>
      <c r="I52" s="348"/>
      <c r="J52" s="347" t="str">
        <f>VLOOKUP(J51,Schlüssel!$A$5:$K$10,2)</f>
        <v>Castra Regina Regensburg 3</v>
      </c>
      <c r="K52" s="348"/>
      <c r="L52" s="347" t="str">
        <f>VLOOKUP(L51,Schlüssel!$A$5:$K$10,2)</f>
        <v>Kings Club Bayreuth Land 2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Schlüssel!$BU$1</f>
        <v>02.03.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Schlüssel!$BK$2</f>
        <v>Regensburg Super Bowl</v>
      </c>
      <c r="F60" s="77"/>
      <c r="G60" s="77"/>
      <c r="H60" s="77"/>
      <c r="I60" s="77"/>
      <c r="K60" s="77"/>
      <c r="L60" s="29" t="s">
        <v>1784</v>
      </c>
      <c r="M60" s="34">
        <v>4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VLOOKUP(B60,Schlüssel!$A$5:$DZ$10,73)</f>
        <v>15</v>
      </c>
      <c r="F62" s="47" t="s">
        <v>10</v>
      </c>
      <c r="G62" s="7">
        <f>VLOOKUP(B60,Schlüssel!$A$5:$DZ$10,74)</f>
        <v>14</v>
      </c>
      <c r="H62" s="47" t="s">
        <v>10</v>
      </c>
      <c r="I62" s="7">
        <f>VLOOKUP(B60,Schlüssel!$A$5:$DZ$10,75)</f>
        <v>16</v>
      </c>
      <c r="J62" s="47" t="s">
        <v>10</v>
      </c>
      <c r="K62" s="7">
        <f>VLOOKUP(B60,Schlüssel!$A$5:$DZ$10,76)</f>
        <v>11</v>
      </c>
      <c r="L62" s="47" t="s">
        <v>10</v>
      </c>
      <c r="M62" s="67">
        <f>VLOOKUP(B60,Schlüssel!$A$5:$DZ$10,77)</f>
        <v>13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VLOOKUP(B60,Schlüssel!$A$5:$DZ$10,63)</f>
        <v>1</v>
      </c>
      <c r="E80" s="350"/>
      <c r="F80" s="350">
        <f>VLOOKUP(B60,Schlüssel!$A$5:$DZ$10,64)</f>
        <v>6</v>
      </c>
      <c r="G80" s="350"/>
      <c r="H80" s="350">
        <f>VLOOKUP(B60,Schlüssel!$A$5:$DZ$10,65)</f>
        <v>5</v>
      </c>
      <c r="I80" s="350"/>
      <c r="J80" s="350">
        <f>VLOOKUP(B60,Schlüssel!$A$5:$DZ$10,66)</f>
        <v>4</v>
      </c>
      <c r="K80" s="350"/>
      <c r="L80" s="350">
        <f>VLOOKUP(B60,Schlüssel!$A$5:$DZ$10,67)</f>
        <v>2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Castra Regina Regensburg 3</v>
      </c>
      <c r="E81" s="348"/>
      <c r="F81" s="347" t="str">
        <f>VLOOKUP(F80,Schlüssel!$A$5:$K$10,2)</f>
        <v>Adler Nürnberg 1</v>
      </c>
      <c r="G81" s="348"/>
      <c r="H81" s="347" t="str">
        <f>VLOOKUP(H80,Schlüssel!$A$5:$K$10,2)</f>
        <v>Castra Regina Regensburg 2</v>
      </c>
      <c r="I81" s="348"/>
      <c r="J81" s="347" t="str">
        <f>VLOOKUP(J80,Schlüssel!$A$5:$K$10,2)</f>
        <v>Kings Club Bayreuth Land 3</v>
      </c>
      <c r="K81" s="348"/>
      <c r="L81" s="347" t="str">
        <f>VLOOKUP(L80,Schlüssel!$A$5:$K$10,2)</f>
        <v>Herzogenaurach 1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Schlüssel!$BU$1</f>
        <v>02.03.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Schlüssel!$BK$2</f>
        <v>Regensburg Super Bowl</v>
      </c>
      <c r="F89" s="77"/>
      <c r="G89" s="77"/>
      <c r="H89" s="77"/>
      <c r="I89" s="77"/>
      <c r="K89" s="77"/>
      <c r="L89" s="29" t="s">
        <v>1784</v>
      </c>
      <c r="M89" s="34">
        <v>4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VLOOKUP(B89,Schlüssel!$A$5:$DZ$10,73)</f>
        <v>11</v>
      </c>
      <c r="F91" s="47" t="s">
        <v>10</v>
      </c>
      <c r="G91" s="7">
        <f>VLOOKUP(B89,Schlüssel!$A$5:$DZ$10,74)</f>
        <v>16</v>
      </c>
      <c r="H91" s="47" t="s">
        <v>10</v>
      </c>
      <c r="I91" s="7">
        <f>VLOOKUP(B89,Schlüssel!$A$5:$DZ$10,75)</f>
        <v>14</v>
      </c>
      <c r="J91" s="47" t="s">
        <v>10</v>
      </c>
      <c r="K91" s="7">
        <f>VLOOKUP(B89,Schlüssel!$A$5:$DZ$10,76)</f>
        <v>12</v>
      </c>
      <c r="L91" s="47" t="s">
        <v>10</v>
      </c>
      <c r="M91" s="67">
        <f>VLOOKUP(B89,Schlüssel!$A$5:$DZ$10,77)</f>
        <v>15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VLOOKUP(B89,Schlüssel!$A$5:$DZ$10,63)</f>
        <v>6</v>
      </c>
      <c r="E109" s="350"/>
      <c r="F109" s="350">
        <f>VLOOKUP(B89,Schlüssel!$A$5:$DZ$10,64)</f>
        <v>2</v>
      </c>
      <c r="G109" s="350"/>
      <c r="H109" s="350">
        <f>VLOOKUP(B89,Schlüssel!$A$5:$DZ$10,65)</f>
        <v>1</v>
      </c>
      <c r="I109" s="350"/>
      <c r="J109" s="350">
        <f>VLOOKUP(B89,Schlüssel!$A$5:$DZ$10,66)</f>
        <v>3</v>
      </c>
      <c r="K109" s="350"/>
      <c r="L109" s="350">
        <f>VLOOKUP(B89,Schlüssel!$A$5:$DZ$10,67)</f>
        <v>5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Adler Nürnberg 1</v>
      </c>
      <c r="E110" s="348"/>
      <c r="F110" s="347" t="str">
        <f>VLOOKUP(F109,Schlüssel!$A$5:$K$10,2)</f>
        <v>Herzogenaurach 1</v>
      </c>
      <c r="G110" s="348"/>
      <c r="H110" s="347" t="str">
        <f>VLOOKUP(H109,Schlüssel!$A$5:$K$10,2)</f>
        <v>Castra Regina Regensburg 3</v>
      </c>
      <c r="I110" s="348"/>
      <c r="J110" s="347" t="str">
        <f>VLOOKUP(J109,Schlüssel!$A$5:$K$10,2)</f>
        <v>Kings Club Bayreuth Land 2</v>
      </c>
      <c r="K110" s="348"/>
      <c r="L110" s="347" t="str">
        <f>VLOOKUP(L109,Schlüssel!$A$5:$K$10,2)</f>
        <v>Castra Regina Regensburg 2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Schlüssel!$BU$1</f>
        <v>02.03.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Schlüssel!$BK$2</f>
        <v>Regensburg Super Bowl</v>
      </c>
      <c r="F118" s="77"/>
      <c r="G118" s="77"/>
      <c r="H118" s="77"/>
      <c r="I118" s="77"/>
      <c r="K118" s="77"/>
      <c r="L118" s="29" t="s">
        <v>1784</v>
      </c>
      <c r="M118" s="34">
        <v>4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VLOOKUP(B118,Schlüssel!$A$5:$DZ$10,73)</f>
        <v>14</v>
      </c>
      <c r="F120" s="47" t="s">
        <v>10</v>
      </c>
      <c r="G120" s="7">
        <f>VLOOKUP(B118,Schlüssel!$A$5:$DZ$10,74)</f>
        <v>11</v>
      </c>
      <c r="H120" s="47" t="s">
        <v>10</v>
      </c>
      <c r="I120" s="7">
        <f>VLOOKUP(B118,Schlüssel!$A$5:$DZ$10,75)</f>
        <v>15</v>
      </c>
      <c r="J120" s="47" t="s">
        <v>10</v>
      </c>
      <c r="K120" s="7">
        <f>VLOOKUP(B118,Schlüssel!$A$5:$DZ$10,76)</f>
        <v>13</v>
      </c>
      <c r="L120" s="47" t="s">
        <v>10</v>
      </c>
      <c r="M120" s="67">
        <f>VLOOKUP(B118,Schlüssel!$A$5:$DZ$10,77)</f>
        <v>16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VLOOKUP(B118,Schlüssel!$A$5:$DZ$10,63)</f>
        <v>2</v>
      </c>
      <c r="E138" s="350"/>
      <c r="F138" s="350">
        <f>VLOOKUP(B118,Schlüssel!$A$5:$DZ$10,64)</f>
        <v>1</v>
      </c>
      <c r="G138" s="350"/>
      <c r="H138" s="350">
        <f>VLOOKUP(B118,Schlüssel!$A$5:$DZ$10,65)</f>
        <v>3</v>
      </c>
      <c r="I138" s="350"/>
      <c r="J138" s="350">
        <f>VLOOKUP(B118,Schlüssel!$A$5:$DZ$10,66)</f>
        <v>6</v>
      </c>
      <c r="K138" s="350"/>
      <c r="L138" s="350">
        <f>VLOOKUP(B118,Schlüssel!$A$5:$DZ$10,67)</f>
        <v>4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Herzogenaurach 1</v>
      </c>
      <c r="E139" s="348"/>
      <c r="F139" s="347" t="str">
        <f>VLOOKUP(F138,Schlüssel!$A$5:$K$10,2)</f>
        <v>Castra Regina Regensburg 3</v>
      </c>
      <c r="G139" s="348"/>
      <c r="H139" s="347" t="str">
        <f>VLOOKUP(H138,Schlüssel!$A$5:$K$10,2)</f>
        <v>Kings Club Bayreuth Land 2</v>
      </c>
      <c r="I139" s="348"/>
      <c r="J139" s="347" t="str">
        <f>VLOOKUP(J138,Schlüssel!$A$5:$K$10,2)</f>
        <v>Adler Nürnberg 1</v>
      </c>
      <c r="K139" s="348"/>
      <c r="L139" s="347" t="str">
        <f>VLOOKUP(L138,Schlüssel!$A$5:$K$10,2)</f>
        <v>Kings Club Bayreuth Land 3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Schlüssel!$BU$1</f>
        <v>02.03.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Schlüssel!$BK$2</f>
        <v>Regensburg Super Bowl</v>
      </c>
      <c r="F147" s="77"/>
      <c r="G147" s="77"/>
      <c r="H147" s="77"/>
      <c r="I147" s="77"/>
      <c r="K147" s="77"/>
      <c r="L147" s="29" t="s">
        <v>1784</v>
      </c>
      <c r="M147" s="34">
        <v>4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VLOOKUP(B147,Schlüssel!$A$5:$DZ$10,73)</f>
        <v>12</v>
      </c>
      <c r="F149" s="47" t="s">
        <v>10</v>
      </c>
      <c r="G149" s="7">
        <f>VLOOKUP(B147,Schlüssel!$A$5:$DZ$10,74)</f>
        <v>13</v>
      </c>
      <c r="H149" s="47" t="s">
        <v>10</v>
      </c>
      <c r="I149" s="7">
        <f>VLOOKUP(B147,Schlüssel!$A$5:$DZ$10,75)</f>
        <v>11</v>
      </c>
      <c r="J149" s="47" t="s">
        <v>10</v>
      </c>
      <c r="K149" s="7">
        <f>VLOOKUP(B147,Schlüssel!$A$5:$DZ$10,76)</f>
        <v>14</v>
      </c>
      <c r="L149" s="47" t="s">
        <v>10</v>
      </c>
      <c r="M149" s="67">
        <f>VLOOKUP(B147,Schlüssel!$A$5:$DZ$10,77)</f>
        <v>12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VLOOKUP(B147,Schlüssel!$A$5:$DZ$10,63)</f>
        <v>4</v>
      </c>
      <c r="E167" s="350"/>
      <c r="F167" s="350">
        <f>VLOOKUP(B147,Schlüssel!$A$5:$DZ$10,64)</f>
        <v>3</v>
      </c>
      <c r="G167" s="350"/>
      <c r="H167" s="350">
        <f>VLOOKUP(B147,Schlüssel!$A$5:$DZ$10,65)</f>
        <v>2</v>
      </c>
      <c r="I167" s="350"/>
      <c r="J167" s="350">
        <f>VLOOKUP(B147,Schlüssel!$A$5:$DZ$10,66)</f>
        <v>5</v>
      </c>
      <c r="K167" s="350"/>
      <c r="L167" s="350">
        <f>VLOOKUP(B147,Schlüssel!$A$5:$DZ$10,67)</f>
        <v>1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Kings Club Bayreuth Land 3</v>
      </c>
      <c r="E168" s="348"/>
      <c r="F168" s="347" t="str">
        <f>VLOOKUP(F167,Schlüssel!$A$5:$K$10,2)</f>
        <v>Kings Club Bayreuth Land 2</v>
      </c>
      <c r="G168" s="348"/>
      <c r="H168" s="347" t="str">
        <f>VLOOKUP(H167,Schlüssel!$A$5:$K$10,2)</f>
        <v>Herzogenaurach 1</v>
      </c>
      <c r="I168" s="348"/>
      <c r="J168" s="347" t="str">
        <f>VLOOKUP(J167,Schlüssel!$A$5:$K$10,2)</f>
        <v>Castra Regina Regensburg 2</v>
      </c>
      <c r="K168" s="348"/>
      <c r="L168" s="347" t="str">
        <f>VLOOKUP(L167,Schlüssel!$A$5:$K$10,2)</f>
        <v>Castra Regina Regensburg 3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C540" sheet="1"/>
  <mergeCells count="498">
    <mergeCell ref="L1:N1"/>
    <mergeCell ref="D5:E5"/>
    <mergeCell ref="F5:G5"/>
    <mergeCell ref="H5:I5"/>
    <mergeCell ref="J5:K5"/>
    <mergeCell ref="L5:M5"/>
    <mergeCell ref="N5:O5"/>
    <mergeCell ref="O7:O9"/>
    <mergeCell ref="A10:A12"/>
    <mergeCell ref="E10:E12"/>
    <mergeCell ref="G10:G12"/>
    <mergeCell ref="I10:I12"/>
    <mergeCell ref="K10:K12"/>
    <mergeCell ref="M10:M12"/>
    <mergeCell ref="O10:O12"/>
    <mergeCell ref="A7:A9"/>
    <mergeCell ref="E7:E9"/>
    <mergeCell ref="G7:G9"/>
    <mergeCell ref="I7:I9"/>
    <mergeCell ref="K7:K9"/>
    <mergeCell ref="M7:M9"/>
    <mergeCell ref="D22:E22"/>
    <mergeCell ref="F22:G22"/>
    <mergeCell ref="H22:I22"/>
    <mergeCell ref="J22:K22"/>
    <mergeCell ref="L22:M22"/>
    <mergeCell ref="N22:O22"/>
    <mergeCell ref="O13:O15"/>
    <mergeCell ref="A16:A18"/>
    <mergeCell ref="E16:E18"/>
    <mergeCell ref="G16:G18"/>
    <mergeCell ref="I16:I18"/>
    <mergeCell ref="K16:K18"/>
    <mergeCell ref="M16:M18"/>
    <mergeCell ref="O16:O18"/>
    <mergeCell ref="A13:A15"/>
    <mergeCell ref="E13:E15"/>
    <mergeCell ref="G13:G15"/>
    <mergeCell ref="I13:I15"/>
    <mergeCell ref="K13:K15"/>
    <mergeCell ref="M13:M15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D26:E26"/>
    <mergeCell ref="F26:G26"/>
    <mergeCell ref="H26:I26"/>
    <mergeCell ref="J26:K26"/>
    <mergeCell ref="L26:M26"/>
    <mergeCell ref="N26:O26"/>
    <mergeCell ref="D25:E25"/>
    <mergeCell ref="F25:G25"/>
    <mergeCell ref="H25:I25"/>
    <mergeCell ref="J25:K25"/>
    <mergeCell ref="L25:M25"/>
    <mergeCell ref="N25:O25"/>
    <mergeCell ref="D28:E28"/>
    <mergeCell ref="F28:G28"/>
    <mergeCell ref="H28:I28"/>
    <mergeCell ref="J28:K28"/>
    <mergeCell ref="L28:M28"/>
    <mergeCell ref="N28:O28"/>
    <mergeCell ref="D27:E27"/>
    <mergeCell ref="F27:G27"/>
    <mergeCell ref="H27:I27"/>
    <mergeCell ref="J27:K27"/>
    <mergeCell ref="L27:M27"/>
    <mergeCell ref="N27:O27"/>
    <mergeCell ref="L30:N30"/>
    <mergeCell ref="D34:E34"/>
    <mergeCell ref="F34:G34"/>
    <mergeCell ref="H34:I34"/>
    <mergeCell ref="J34:K34"/>
    <mergeCell ref="L34:M34"/>
    <mergeCell ref="N34:O34"/>
    <mergeCell ref="D29:E29"/>
    <mergeCell ref="F29:G29"/>
    <mergeCell ref="H29:I29"/>
    <mergeCell ref="J29:K29"/>
    <mergeCell ref="L29:M29"/>
    <mergeCell ref="N29:O29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ageMargins left="0.70866141732283472" right="0.70866141732283472" top="0.39370078740157483" bottom="0.39370078740157483" header="0.31496062992125984" footer="0.31496062992125984"/>
  <pageSetup paperSize="9" orientation="landscape" r:id="rId1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49A7-88B8-42C1-9D5F-D90C3571085E}">
  <sheetPr>
    <tabColor rgb="FF92D050"/>
  </sheetPr>
  <dimension ref="A1:CE180"/>
  <sheetViews>
    <sheetView view="pageBreakPreview" topLeftCell="R154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 t="str">
        <f>Schlüssel!$BU$1</f>
        <v>02.03.</v>
      </c>
      <c r="N1" s="376"/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Schlüssel!$BU$1</f>
        <v>02.03.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Regensburg Super Bowl</v>
      </c>
      <c r="F2" s="77"/>
      <c r="G2" s="77"/>
      <c r="H2" s="77"/>
      <c r="I2" s="77"/>
      <c r="J2" s="77"/>
      <c r="K2" s="77"/>
      <c r="L2" s="29" t="str">
        <f>AC2</f>
        <v>Spieltag:</v>
      </c>
      <c r="M2" s="86">
        <f>AD2</f>
        <v>4</v>
      </c>
      <c r="N2" s="28"/>
      <c r="R2" s="49"/>
      <c r="S2" s="50">
        <v>1</v>
      </c>
      <c r="U2" s="30" t="s">
        <v>1786</v>
      </c>
      <c r="V2" s="84" t="str">
        <f>Schlüssel!$BK$2</f>
        <v>Regensburg Super Bowl</v>
      </c>
      <c r="X2" s="77"/>
      <c r="Y2" s="77"/>
      <c r="Z2" s="77"/>
      <c r="AA2" s="77"/>
      <c r="AB2" s="77"/>
      <c r="AC2" s="29" t="s">
        <v>1784</v>
      </c>
      <c r="AD2" s="34">
        <v>4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VLOOKUP(S2,Schlüssel!$A$5:$DZ$10,73)</f>
        <v>16</v>
      </c>
      <c r="W4" s="193" t="s">
        <v>10</v>
      </c>
      <c r="X4" s="191">
        <f>VLOOKUP(S2,Schlüssel!$A$5:$DZ$10,74)</f>
        <v>12</v>
      </c>
      <c r="Y4" s="193" t="s">
        <v>10</v>
      </c>
      <c r="Z4" s="191">
        <f>VLOOKUP(S2,Schlüssel!$A$5:$DZ$10,75)</f>
        <v>13</v>
      </c>
      <c r="AA4" s="193" t="s">
        <v>10</v>
      </c>
      <c r="AB4" s="191">
        <f>VLOOKUP(S2,Schlüssel!$A$5:$DZ$10,76)</f>
        <v>15</v>
      </c>
      <c r="AC4" s="193" t="s">
        <v>10</v>
      </c>
      <c r="AD4" s="192">
        <f>VLOOKUP(S2,Schlüssel!$A$5:$DZ$10,77)</f>
        <v>11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>Walzer, Peter</v>
      </c>
      <c r="C7" s="18">
        <f>IF(T7=0,"",T7)</f>
        <v>7813</v>
      </c>
      <c r="D7" s="14">
        <f>IF(U7=0,"",U7)</f>
        <v>216</v>
      </c>
      <c r="E7" s="352">
        <f>IF(V7="","",V7)</f>
        <v>1</v>
      </c>
      <c r="F7" s="14">
        <f t="shared" ref="F7:F20" si="0">IF(W7=0,"",W7)</f>
        <v>187</v>
      </c>
      <c r="G7" s="352">
        <f>IF(X7="","",X7)</f>
        <v>0</v>
      </c>
      <c r="H7" s="14">
        <f t="shared" ref="H7:H20" si="1">IF(Y7=0,"",Y7)</f>
        <v>166</v>
      </c>
      <c r="I7" s="352">
        <f>IF(Z7="","",Z7)</f>
        <v>1</v>
      </c>
      <c r="J7" s="14">
        <f t="shared" ref="J7:J20" si="2">IF(AA7=0,"",AA7)</f>
        <v>164</v>
      </c>
      <c r="K7" s="352">
        <f>IF(AB7="","",AB7)</f>
        <v>1</v>
      </c>
      <c r="L7" s="14" t="str">
        <f t="shared" ref="L7:L20" si="3">IF(AC7=0,"",AC7)</f>
        <v/>
      </c>
      <c r="M7" s="352">
        <f>IF(AD7="","",AD7)</f>
        <v>1</v>
      </c>
      <c r="N7" s="14">
        <f t="shared" ref="N7:N20" si="4">IF(AE7=0,"",AE7)</f>
        <v>733</v>
      </c>
      <c r="O7" s="352">
        <f>IF(AF7="","",AF7)</f>
        <v>4</v>
      </c>
      <c r="R7" s="355" t="s">
        <v>0</v>
      </c>
      <c r="S7" s="68" t="str">
        <f>IF(T7=0,"",VLOOKUP(T7,Starter!$A$1:$D$196,2,FALSE))</f>
        <v>Walzer, Peter</v>
      </c>
      <c r="T7" s="175">
        <v>7813</v>
      </c>
      <c r="U7" s="183">
        <v>216</v>
      </c>
      <c r="V7" s="95">
        <f>IF(SUM(U7:U9)+U25=0,0,IF(ABS(SUM(U7:U9))=U25,0.5,IF(ABS(SUM(U7:U9))&gt;U25,1,0)))</f>
        <v>1</v>
      </c>
      <c r="W7" s="183">
        <v>187</v>
      </c>
      <c r="X7" s="95">
        <f>IF(SUM(W7:W9)+W25=0,0,IF(ABS(SUM(W7:W9))=W25,0.5,IF(ABS(SUM(W7:W9))&gt;W25,1,0)))</f>
        <v>0</v>
      </c>
      <c r="Y7" s="183">
        <v>166</v>
      </c>
      <c r="Z7" s="95">
        <f>IF(SUM(Y7:Y9)+Y25=0,0,IF(ABS(SUM(Y7:Y9))=Y25,0.5,IF(ABS(SUM(Y7:Y9))&gt;Y25,1,0)))</f>
        <v>1</v>
      </c>
      <c r="AA7" s="189">
        <v>164</v>
      </c>
      <c r="AB7" s="95">
        <f>IF(SUM(AA7:AA9)+AA25=0,0,IF(ABS(SUM(AA7:AA9))=AA25,0.5,IF(ABS(SUM(AA7:AA9))&gt;AA25,1,0)))</f>
        <v>1</v>
      </c>
      <c r="AC7" s="183"/>
      <c r="AD7" s="95">
        <f>IF(SUM(AC7:AC9)+AC25=0,0,IF(ABS(SUM(AC7:AC9))=AC25,0.5,IF(ABS(SUM(AC7:AC9))&gt;AC25,1,0)))</f>
        <v>1</v>
      </c>
      <c r="AE7" s="195">
        <f t="shared" ref="AE7:AE18" si="5">ABS(SUM(U7:U7))+ABS(SUM(W7:W7))+ABS(SUM(Y7:Y7))+ABS(SUM(AA7:AA7))+ABS(SUM(AC7:AC7))</f>
        <v>733</v>
      </c>
      <c r="AF7" s="180">
        <f>SUM(V7+X7+Z7+AB7+AD7)</f>
        <v>4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 t="shared" ref="BD7:BD18" si="6">T7</f>
        <v>7813</v>
      </c>
      <c r="BE7" s="213">
        <f t="shared" ref="BE7:BE18" si="7">AE7</f>
        <v>733</v>
      </c>
      <c r="BF7" s="215">
        <f t="shared" ref="BF7:BF18" si="8">COUNT(BH7:BL7)</f>
        <v>4</v>
      </c>
      <c r="BG7" s="215">
        <f t="shared" ref="BG7:BG18" si="9">COUNTIF(BH7:BL7,"&gt;0")</f>
        <v>4</v>
      </c>
      <c r="BH7" s="215">
        <f t="shared" ref="BH7:BH18" si="10">IF(U7=0,"",U7)</f>
        <v>216</v>
      </c>
      <c r="BI7" s="215">
        <f t="shared" ref="BI7:BI18" si="11">IF(W7=0,"",W7)</f>
        <v>187</v>
      </c>
      <c r="BJ7" s="215">
        <f t="shared" ref="BJ7:BJ18" si="12">IF(Y7=0,"",Y7)</f>
        <v>166</v>
      </c>
      <c r="BK7" s="215">
        <f t="shared" ref="BK7:BK18" si="13">IF(AA7=0,"",AA7)</f>
        <v>164</v>
      </c>
      <c r="BL7" s="215" t="str">
        <f t="shared" ref="BL7:BL18" si="14">IF(AC7=0,"",AC7)</f>
        <v/>
      </c>
      <c r="BM7" s="216"/>
      <c r="BN7" s="214"/>
      <c r="BO7" s="215">
        <f t="shared" ref="BO7:BO18" si="15">MAX(BH7:BL7)</f>
        <v>216</v>
      </c>
      <c r="BP7" s="215">
        <f t="shared" ref="BP7:BP18" si="16">IF(BO7&lt;MAX(BO:BO),0,BO7+ROW()/1000000000)</f>
        <v>0</v>
      </c>
      <c r="BQ7" s="215" t="str">
        <f>+S3</f>
        <v>Castra Regina Regensburg 3</v>
      </c>
      <c r="BR7" s="214">
        <f t="shared" ref="BR7:BR18" si="17">RANK(BP7,BP:BP)</f>
        <v>2</v>
      </c>
      <c r="BS7" s="215">
        <f t="shared" ref="BS7:BS18" si="18">SUMIF(BH7:BL7,"&gt;0")</f>
        <v>733</v>
      </c>
      <c r="BT7" s="215">
        <f>IF(COUNTIF(BH7:BL7,"&gt;0")&lt;Spielorte!$A$23,0,BE7/Spielorte!$A$23)</f>
        <v>0</v>
      </c>
      <c r="BU7" s="215">
        <f t="shared" ref="BU7:BU18" si="19">IF(BT7&lt;MAX(BT:BT),0,BT7+ROW()/1000000000)</f>
        <v>0</v>
      </c>
      <c r="BV7" s="214">
        <f t="shared" ref="BV7:BV18" si="20">IF(BU7=0,0,RANK(BU7,BU:BU))</f>
        <v>0</v>
      </c>
    </row>
    <row r="8" spans="1:74" ht="17.100000000000001" customHeight="1" x14ac:dyDescent="0.2">
      <c r="A8" s="374"/>
      <c r="B8" s="19" t="str">
        <f t="shared" ref="B8:D20" si="21">IF(S8=0,"",S8)</f>
        <v>Simon, Diana</v>
      </c>
      <c r="C8" s="20">
        <f t="shared" si="21"/>
        <v>38869</v>
      </c>
      <c r="D8" s="15" t="str">
        <f t="shared" si="21"/>
        <v/>
      </c>
      <c r="E8" s="353"/>
      <c r="F8" s="15" t="str">
        <f t="shared" si="0"/>
        <v/>
      </c>
      <c r="G8" s="353"/>
      <c r="H8" s="15" t="str">
        <f t="shared" si="1"/>
        <v/>
      </c>
      <c r="I8" s="353"/>
      <c r="J8" s="15" t="str">
        <f t="shared" si="2"/>
        <v/>
      </c>
      <c r="K8" s="353"/>
      <c r="L8" s="15">
        <f t="shared" si="3"/>
        <v>200</v>
      </c>
      <c r="M8" s="353"/>
      <c r="N8" s="15">
        <f t="shared" si="4"/>
        <v>200</v>
      </c>
      <c r="O8" s="353"/>
      <c r="R8" s="356"/>
      <c r="S8" s="68" t="str">
        <f>IF(T8=0,"",VLOOKUP(T8,Starter!$A$1:$D$196,2,FALSE))</f>
        <v>Simon, Diana</v>
      </c>
      <c r="T8" s="176">
        <v>38869</v>
      </c>
      <c r="U8" s="184"/>
      <c r="V8" s="96"/>
      <c r="W8" s="184"/>
      <c r="X8" s="96"/>
      <c r="Y8" s="184"/>
      <c r="Z8" s="96"/>
      <c r="AA8" s="184"/>
      <c r="AB8" s="96"/>
      <c r="AC8" s="184">
        <v>200</v>
      </c>
      <c r="AD8" s="96"/>
      <c r="AE8" s="196">
        <f t="shared" si="5"/>
        <v>200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si="6"/>
        <v>38869</v>
      </c>
      <c r="BE8" s="213">
        <f t="shared" si="7"/>
        <v>200</v>
      </c>
      <c r="BF8" s="215">
        <f t="shared" si="8"/>
        <v>1</v>
      </c>
      <c r="BG8" s="215">
        <f t="shared" si="9"/>
        <v>1</v>
      </c>
      <c r="BH8" s="215" t="str">
        <f t="shared" si="10"/>
        <v/>
      </c>
      <c r="BI8" s="215" t="str">
        <f t="shared" si="11"/>
        <v/>
      </c>
      <c r="BJ8" s="215" t="str">
        <f t="shared" si="12"/>
        <v/>
      </c>
      <c r="BK8" s="215" t="str">
        <f t="shared" si="13"/>
        <v/>
      </c>
      <c r="BL8" s="215">
        <f t="shared" si="14"/>
        <v>200</v>
      </c>
      <c r="BM8" s="216"/>
      <c r="BN8" s="214"/>
      <c r="BO8" s="215">
        <f t="shared" si="15"/>
        <v>200</v>
      </c>
      <c r="BP8" s="215">
        <f t="shared" si="16"/>
        <v>0</v>
      </c>
      <c r="BQ8" s="215" t="str">
        <f t="shared" ref="BQ8:BQ18" si="22">+BQ7</f>
        <v>Castra Regina Regensburg 3</v>
      </c>
      <c r="BR8" s="214">
        <f t="shared" si="17"/>
        <v>2</v>
      </c>
      <c r="BS8" s="215">
        <f t="shared" si="18"/>
        <v>200</v>
      </c>
      <c r="BT8" s="215">
        <f>IF(COUNTIF(BH8:BL8,"&gt;0")&lt;Spielorte!$A$23,0,BE8/Spielorte!$A$23)</f>
        <v>0</v>
      </c>
      <c r="BU8" s="215">
        <f t="shared" si="19"/>
        <v>0</v>
      </c>
      <c r="BV8" s="214">
        <f t="shared" si="20"/>
        <v>0</v>
      </c>
    </row>
    <row r="9" spans="1:74" ht="17.100000000000001" customHeight="1" thickBot="1" x14ac:dyDescent="0.25">
      <c r="A9" s="375"/>
      <c r="B9" s="21" t="str">
        <f t="shared" si="21"/>
        <v/>
      </c>
      <c r="C9" s="22" t="str">
        <f t="shared" si="21"/>
        <v/>
      </c>
      <c r="D9" s="9" t="str">
        <f t="shared" si="21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6"/>
        <v>0</v>
      </c>
      <c r="BE9" s="213">
        <f t="shared" si="7"/>
        <v>0</v>
      </c>
      <c r="BF9" s="215">
        <f t="shared" si="8"/>
        <v>0</v>
      </c>
      <c r="BG9" s="215">
        <f t="shared" si="9"/>
        <v>0</v>
      </c>
      <c r="BH9" s="215" t="str">
        <f t="shared" si="10"/>
        <v/>
      </c>
      <c r="BI9" s="215" t="str">
        <f t="shared" si="11"/>
        <v/>
      </c>
      <c r="BJ9" s="215" t="str">
        <f t="shared" si="12"/>
        <v/>
      </c>
      <c r="BK9" s="215" t="str">
        <f t="shared" si="13"/>
        <v/>
      </c>
      <c r="BL9" s="215" t="str">
        <f t="shared" si="14"/>
        <v/>
      </c>
      <c r="BM9" s="216"/>
      <c r="BN9" s="214"/>
      <c r="BO9" s="215">
        <f t="shared" si="15"/>
        <v>0</v>
      </c>
      <c r="BP9" s="215">
        <f t="shared" si="16"/>
        <v>0</v>
      </c>
      <c r="BQ9" s="215" t="str">
        <f t="shared" si="22"/>
        <v>Castra Regina Regensburg 3</v>
      </c>
      <c r="BR9" s="214">
        <f t="shared" si="17"/>
        <v>2</v>
      </c>
      <c r="BS9" s="215">
        <f t="shared" si="18"/>
        <v>0</v>
      </c>
      <c r="BT9" s="215">
        <f>IF(COUNTIF(BH9:BL9,"&gt;0")&lt;Spielorte!$A$23,0,BE9/Spielorte!$A$23)</f>
        <v>0</v>
      </c>
      <c r="BU9" s="215">
        <f t="shared" si="19"/>
        <v>0</v>
      </c>
      <c r="BV9" s="214">
        <f t="shared" si="20"/>
        <v>0</v>
      </c>
    </row>
    <row r="10" spans="1:74" ht="17.100000000000001" customHeight="1" x14ac:dyDescent="0.2">
      <c r="A10" s="373" t="s">
        <v>2</v>
      </c>
      <c r="B10" s="17" t="str">
        <f t="shared" si="21"/>
        <v>Bothe, Willi</v>
      </c>
      <c r="C10" s="18">
        <f t="shared" si="21"/>
        <v>38570</v>
      </c>
      <c r="D10" s="14">
        <f t="shared" si="21"/>
        <v>188</v>
      </c>
      <c r="E10" s="352">
        <f>IF(V10="","",V10)</f>
        <v>1</v>
      </c>
      <c r="F10" s="14">
        <f t="shared" si="0"/>
        <v>212</v>
      </c>
      <c r="G10" s="352">
        <f>IF(X10="","",X10)</f>
        <v>1</v>
      </c>
      <c r="H10" s="14">
        <f t="shared" si="1"/>
        <v>176</v>
      </c>
      <c r="I10" s="352">
        <f>IF(Z10="","",Z10)</f>
        <v>0</v>
      </c>
      <c r="J10" s="14">
        <f t="shared" si="2"/>
        <v>129</v>
      </c>
      <c r="K10" s="352">
        <f>IF(AB10="","",AB10)</f>
        <v>0</v>
      </c>
      <c r="L10" s="14">
        <f t="shared" si="3"/>
        <v>192</v>
      </c>
      <c r="M10" s="352">
        <f>IF(AD10="","",AD10)</f>
        <v>1</v>
      </c>
      <c r="N10" s="14">
        <f t="shared" si="4"/>
        <v>897</v>
      </c>
      <c r="O10" s="352">
        <f>IF(AF10="","",AF10)</f>
        <v>3</v>
      </c>
      <c r="R10" s="355" t="s">
        <v>2</v>
      </c>
      <c r="S10" s="68" t="str">
        <f>IF(T10=0,"",VLOOKUP(T10,Starter!$A$1:$D$196,2,FALSE))</f>
        <v>Bothe, Willi</v>
      </c>
      <c r="T10" s="178">
        <v>38570</v>
      </c>
      <c r="U10" s="186">
        <v>188</v>
      </c>
      <c r="V10" s="95">
        <f>IF(SUM(U10:U12)+U26=0,0,IF(ABS(SUM(U10:U12))=U26,0.5,IF(ABS(SUM(U10:U12))&gt;U26,1,0)))</f>
        <v>1</v>
      </c>
      <c r="W10" s="186">
        <v>212</v>
      </c>
      <c r="X10" s="95">
        <f>IF(SUM(W10:W12)+W26=0,0,IF(ABS(SUM(W10:W12))=W26,0.5,IF(ABS(SUM(W10:W12))&gt;W26,1,0)))</f>
        <v>1</v>
      </c>
      <c r="Y10" s="186">
        <v>176</v>
      </c>
      <c r="Z10" s="95">
        <f>IF(SUM(Y10:Y12)+Y26=0,0,IF(ABS(SUM(Y10:Y12))=Y26,0.5,IF(ABS(SUM(Y10:Y12))&gt;Y26,1,0)))</f>
        <v>0</v>
      </c>
      <c r="AA10" s="186">
        <v>129</v>
      </c>
      <c r="AB10" s="95">
        <f>IF(SUM(AA10:AA12)+AA26=0,0,IF(ABS(SUM(AA10:AA12))=AA26,0.5,IF(ABS(SUM(AA10:AA12))&gt;AA26,1,0)))</f>
        <v>0</v>
      </c>
      <c r="AC10" s="186">
        <v>192</v>
      </c>
      <c r="AD10" s="95">
        <f>IF(SUM(AC10:AC12)+AC26=0,0,IF(ABS(SUM(AC10:AC12))=AC26,0.5,IF(ABS(SUM(AC10:AC12))&gt;AC26,1,0)))</f>
        <v>1</v>
      </c>
      <c r="AE10" s="195">
        <f t="shared" si="5"/>
        <v>897</v>
      </c>
      <c r="AF10" s="180">
        <f>SUM(V10+X10+Z10+AB10+AD10)</f>
        <v>3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6"/>
        <v>38570</v>
      </c>
      <c r="BE10" s="213">
        <f t="shared" si="7"/>
        <v>897</v>
      </c>
      <c r="BF10" s="215">
        <f t="shared" si="8"/>
        <v>5</v>
      </c>
      <c r="BG10" s="215">
        <f t="shared" si="9"/>
        <v>5</v>
      </c>
      <c r="BH10" s="215">
        <f t="shared" si="10"/>
        <v>188</v>
      </c>
      <c r="BI10" s="215">
        <f t="shared" si="11"/>
        <v>212</v>
      </c>
      <c r="BJ10" s="215">
        <f t="shared" si="12"/>
        <v>176</v>
      </c>
      <c r="BK10" s="215">
        <f t="shared" si="13"/>
        <v>129</v>
      </c>
      <c r="BL10" s="215">
        <f t="shared" si="14"/>
        <v>192</v>
      </c>
      <c r="BM10" s="216"/>
      <c r="BN10" s="214"/>
      <c r="BO10" s="215">
        <f t="shared" si="15"/>
        <v>212</v>
      </c>
      <c r="BP10" s="215">
        <f t="shared" si="16"/>
        <v>0</v>
      </c>
      <c r="BQ10" s="215" t="str">
        <f t="shared" si="22"/>
        <v>Castra Regina Regensburg 3</v>
      </c>
      <c r="BR10" s="214">
        <f t="shared" si="17"/>
        <v>2</v>
      </c>
      <c r="BS10" s="215">
        <f t="shared" si="18"/>
        <v>897</v>
      </c>
      <c r="BT10" s="215">
        <f>IF(COUNTIF(BH10:BL10,"&gt;0")&lt;Spielorte!$A$23,0,BE10/Spielorte!$A$23)</f>
        <v>179.4</v>
      </c>
      <c r="BU10" s="215">
        <f t="shared" si="19"/>
        <v>0</v>
      </c>
      <c r="BV10" s="214">
        <f t="shared" si="20"/>
        <v>0</v>
      </c>
    </row>
    <row r="11" spans="1:74" ht="17.100000000000001" customHeight="1" x14ac:dyDescent="0.2">
      <c r="A11" s="374"/>
      <c r="B11" s="19" t="str">
        <f t="shared" si="21"/>
        <v/>
      </c>
      <c r="C11" s="20" t="str">
        <f t="shared" si="21"/>
        <v/>
      </c>
      <c r="D11" s="15" t="str">
        <f t="shared" si="21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 t="str">
        <f t="shared" si="2"/>
        <v/>
      </c>
      <c r="K11" s="353"/>
      <c r="L11" s="15" t="str">
        <f t="shared" si="3"/>
        <v/>
      </c>
      <c r="M11" s="353"/>
      <c r="N11" s="15" t="str">
        <f t="shared" si="4"/>
        <v/>
      </c>
      <c r="O11" s="353"/>
      <c r="R11" s="356"/>
      <c r="S11" s="68" t="str">
        <f>IF(T11=0,"",VLOOKUP(T11,Starter!$A$1:$D$196,2,FALSE))</f>
        <v/>
      </c>
      <c r="T11" s="176"/>
      <c r="U11" s="184"/>
      <c r="V11" s="96"/>
      <c r="W11" s="184"/>
      <c r="X11" s="96"/>
      <c r="Y11" s="184"/>
      <c r="Z11" s="96"/>
      <c r="AA11" s="184"/>
      <c r="AB11" s="96"/>
      <c r="AC11" s="184"/>
      <c r="AD11" s="96"/>
      <c r="AE11" s="196">
        <f t="shared" si="5"/>
        <v>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6"/>
        <v>0</v>
      </c>
      <c r="BE11" s="213">
        <f t="shared" si="7"/>
        <v>0</v>
      </c>
      <c r="BF11" s="215">
        <f t="shared" si="8"/>
        <v>0</v>
      </c>
      <c r="BG11" s="215">
        <f t="shared" si="9"/>
        <v>0</v>
      </c>
      <c r="BH11" s="215" t="str">
        <f t="shared" si="10"/>
        <v/>
      </c>
      <c r="BI11" s="215" t="str">
        <f t="shared" si="11"/>
        <v/>
      </c>
      <c r="BJ11" s="215" t="str">
        <f t="shared" si="12"/>
        <v/>
      </c>
      <c r="BK11" s="215" t="str">
        <f t="shared" si="13"/>
        <v/>
      </c>
      <c r="BL11" s="215" t="str">
        <f t="shared" si="14"/>
        <v/>
      </c>
      <c r="BM11" s="216"/>
      <c r="BN11" s="214"/>
      <c r="BO11" s="215">
        <f t="shared" si="15"/>
        <v>0</v>
      </c>
      <c r="BP11" s="215">
        <f t="shared" si="16"/>
        <v>0</v>
      </c>
      <c r="BQ11" s="215" t="str">
        <f t="shared" si="22"/>
        <v>Castra Regina Regensburg 3</v>
      </c>
      <c r="BR11" s="214">
        <f t="shared" si="17"/>
        <v>2</v>
      </c>
      <c r="BS11" s="215">
        <f t="shared" si="18"/>
        <v>0</v>
      </c>
      <c r="BT11" s="215">
        <f>IF(COUNTIF(BH11:BL11,"&gt;0")&lt;Spielorte!$A$23,0,BE11/Spielorte!$A$23)</f>
        <v>0</v>
      </c>
      <c r="BU11" s="215">
        <f t="shared" si="19"/>
        <v>0</v>
      </c>
      <c r="BV11" s="214">
        <f t="shared" si="20"/>
        <v>0</v>
      </c>
    </row>
    <row r="12" spans="1:74" ht="17.100000000000001" customHeight="1" thickBot="1" x14ac:dyDescent="0.25">
      <c r="A12" s="375"/>
      <c r="B12" s="21" t="str">
        <f t="shared" si="21"/>
        <v/>
      </c>
      <c r="C12" s="22" t="str">
        <f t="shared" si="21"/>
        <v/>
      </c>
      <c r="D12" s="9" t="str">
        <f t="shared" si="21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6"/>
        <v>0</v>
      </c>
      <c r="BE12" s="213">
        <f t="shared" si="7"/>
        <v>0</v>
      </c>
      <c r="BF12" s="215">
        <f t="shared" si="8"/>
        <v>0</v>
      </c>
      <c r="BG12" s="215">
        <f t="shared" si="9"/>
        <v>0</v>
      </c>
      <c r="BH12" s="215" t="str">
        <f t="shared" si="10"/>
        <v/>
      </c>
      <c r="BI12" s="215" t="str">
        <f t="shared" si="11"/>
        <v/>
      </c>
      <c r="BJ12" s="215" t="str">
        <f t="shared" si="12"/>
        <v/>
      </c>
      <c r="BK12" s="215" t="str">
        <f t="shared" si="13"/>
        <v/>
      </c>
      <c r="BL12" s="215" t="str">
        <f t="shared" si="14"/>
        <v/>
      </c>
      <c r="BM12" s="216"/>
      <c r="BN12" s="214"/>
      <c r="BO12" s="215">
        <f t="shared" si="15"/>
        <v>0</v>
      </c>
      <c r="BP12" s="215">
        <f t="shared" si="16"/>
        <v>0</v>
      </c>
      <c r="BQ12" s="215" t="str">
        <f t="shared" si="22"/>
        <v>Castra Regina Regensburg 3</v>
      </c>
      <c r="BR12" s="214">
        <f t="shared" si="17"/>
        <v>2</v>
      </c>
      <c r="BS12" s="215">
        <f t="shared" si="18"/>
        <v>0</v>
      </c>
      <c r="BT12" s="215">
        <f>IF(COUNTIF(BH12:BL12,"&gt;0")&lt;Spielorte!$A$23,0,BE12/Spielorte!$A$23)</f>
        <v>0</v>
      </c>
      <c r="BU12" s="215">
        <f t="shared" si="19"/>
        <v>0</v>
      </c>
      <c r="BV12" s="214">
        <f t="shared" si="20"/>
        <v>0</v>
      </c>
    </row>
    <row r="13" spans="1:74" ht="17.100000000000001" customHeight="1" x14ac:dyDescent="0.2">
      <c r="A13" s="373" t="s">
        <v>3</v>
      </c>
      <c r="B13" s="17" t="str">
        <f t="shared" si="21"/>
        <v>Stibel, Blasius</v>
      </c>
      <c r="C13" s="18">
        <f t="shared" si="21"/>
        <v>7849</v>
      </c>
      <c r="D13" s="14">
        <f t="shared" si="21"/>
        <v>176</v>
      </c>
      <c r="E13" s="352">
        <f>IF(V13="","",V13)</f>
        <v>1</v>
      </c>
      <c r="F13" s="14">
        <f t="shared" si="0"/>
        <v>187</v>
      </c>
      <c r="G13" s="352">
        <f>IF(X13="","",X13)</f>
        <v>1</v>
      </c>
      <c r="H13" s="14">
        <f t="shared" si="1"/>
        <v>157</v>
      </c>
      <c r="I13" s="352">
        <f>IF(Z13="","",Z13)</f>
        <v>0</v>
      </c>
      <c r="J13" s="14">
        <f t="shared" si="2"/>
        <v>148</v>
      </c>
      <c r="K13" s="352">
        <f>IF(AB13="","",AB13)</f>
        <v>0</v>
      </c>
      <c r="L13" s="14">
        <f t="shared" si="3"/>
        <v>152</v>
      </c>
      <c r="M13" s="352">
        <f>IF(AD13="","",AD13)</f>
        <v>0</v>
      </c>
      <c r="N13" s="14">
        <f t="shared" si="4"/>
        <v>820</v>
      </c>
      <c r="O13" s="352">
        <f>IF(AF13="","",AF13)</f>
        <v>2</v>
      </c>
      <c r="R13" s="355" t="s">
        <v>3</v>
      </c>
      <c r="S13" s="68" t="str">
        <f>IF(T13=0,"",VLOOKUP(T13,Starter!$A$1:$D$196,2,FALSE))</f>
        <v>Stibel, Blasius</v>
      </c>
      <c r="T13" s="178">
        <v>7849</v>
      </c>
      <c r="U13" s="186">
        <v>176</v>
      </c>
      <c r="V13" s="95">
        <f>IF(SUM(U13:U15)+U27=0,0,IF(ABS(SUM(U13:U15))=U27,0.5,IF(ABS(SUM(U13:U15))&gt;U27,1,0)))</f>
        <v>1</v>
      </c>
      <c r="W13" s="186">
        <v>187</v>
      </c>
      <c r="X13" s="95">
        <f>IF(SUM(W13:W15)+W27=0,0,IF(ABS(SUM(W13:W15))=W27,0.5,IF(ABS(SUM(W13:W15))&gt;W27,1,0)))</f>
        <v>1</v>
      </c>
      <c r="Y13" s="186">
        <v>157</v>
      </c>
      <c r="Z13" s="95">
        <f>IF(SUM(Y13:Y15)+Y27=0,0,IF(ABS(SUM(Y13:Y15))=Y27,0.5,IF(ABS(SUM(Y13:Y15))&gt;Y27,1,0)))</f>
        <v>0</v>
      </c>
      <c r="AA13" s="186">
        <v>148</v>
      </c>
      <c r="AB13" s="95">
        <f>IF(SUM(AA13:AA15)+AA27=0,0,IF(ABS(SUM(AA13:AA15))=AA27,0.5,IF(ABS(SUM(AA13:AA15))&gt;AA27,1,0)))</f>
        <v>0</v>
      </c>
      <c r="AC13" s="186">
        <v>152</v>
      </c>
      <c r="AD13" s="95">
        <f>IF(SUM(AC13:AC15)+AC27=0,0,IF(ABS(SUM(AC13:AC15))=AC27,0.5,IF(ABS(SUM(AC13:AC15))&gt;AC27,1,0)))</f>
        <v>0</v>
      </c>
      <c r="AE13" s="195">
        <f t="shared" si="5"/>
        <v>820</v>
      </c>
      <c r="AF13" s="180">
        <f>SUM(V13+X13+Z13+AB13+AD13)</f>
        <v>2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6"/>
        <v>7849</v>
      </c>
      <c r="BE13" s="213">
        <f t="shared" si="7"/>
        <v>820</v>
      </c>
      <c r="BF13" s="215">
        <f t="shared" si="8"/>
        <v>5</v>
      </c>
      <c r="BG13" s="215">
        <f t="shared" si="9"/>
        <v>5</v>
      </c>
      <c r="BH13" s="215">
        <f t="shared" si="10"/>
        <v>176</v>
      </c>
      <c r="BI13" s="215">
        <f t="shared" si="11"/>
        <v>187</v>
      </c>
      <c r="BJ13" s="215">
        <f t="shared" si="12"/>
        <v>157</v>
      </c>
      <c r="BK13" s="215">
        <f t="shared" si="13"/>
        <v>148</v>
      </c>
      <c r="BL13" s="215">
        <f t="shared" si="14"/>
        <v>152</v>
      </c>
      <c r="BM13" s="216"/>
      <c r="BN13" s="214"/>
      <c r="BO13" s="215">
        <f t="shared" si="15"/>
        <v>187</v>
      </c>
      <c r="BP13" s="215">
        <f t="shared" si="16"/>
        <v>0</v>
      </c>
      <c r="BQ13" s="215" t="str">
        <f t="shared" si="22"/>
        <v>Castra Regina Regensburg 3</v>
      </c>
      <c r="BR13" s="214">
        <f t="shared" si="17"/>
        <v>2</v>
      </c>
      <c r="BS13" s="215">
        <f t="shared" si="18"/>
        <v>820</v>
      </c>
      <c r="BT13" s="215">
        <f>IF(COUNTIF(BH13:BL13,"&gt;0")&lt;Spielorte!$A$23,0,BE13/Spielorte!$A$23)</f>
        <v>164</v>
      </c>
      <c r="BU13" s="215">
        <f t="shared" si="19"/>
        <v>0</v>
      </c>
      <c r="BV13" s="214">
        <f t="shared" si="20"/>
        <v>0</v>
      </c>
    </row>
    <row r="14" spans="1:74" ht="17.100000000000001" customHeight="1" x14ac:dyDescent="0.2">
      <c r="A14" s="374"/>
      <c r="B14" s="19" t="str">
        <f t="shared" si="21"/>
        <v/>
      </c>
      <c r="C14" s="20" t="str">
        <f t="shared" si="21"/>
        <v/>
      </c>
      <c r="D14" s="15" t="str">
        <f t="shared" si="21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6"/>
        <v>0</v>
      </c>
      <c r="BE14" s="213">
        <f t="shared" si="7"/>
        <v>0</v>
      </c>
      <c r="BF14" s="215">
        <f t="shared" si="8"/>
        <v>0</v>
      </c>
      <c r="BG14" s="215">
        <f t="shared" si="9"/>
        <v>0</v>
      </c>
      <c r="BH14" s="215" t="str">
        <f t="shared" si="10"/>
        <v/>
      </c>
      <c r="BI14" s="215" t="str">
        <f t="shared" si="11"/>
        <v/>
      </c>
      <c r="BJ14" s="215" t="str">
        <f t="shared" si="12"/>
        <v/>
      </c>
      <c r="BK14" s="215" t="str">
        <f t="shared" si="13"/>
        <v/>
      </c>
      <c r="BL14" s="215" t="str">
        <f t="shared" si="14"/>
        <v/>
      </c>
      <c r="BM14" s="216"/>
      <c r="BN14" s="214"/>
      <c r="BO14" s="215">
        <f t="shared" si="15"/>
        <v>0</v>
      </c>
      <c r="BP14" s="215">
        <f t="shared" si="16"/>
        <v>0</v>
      </c>
      <c r="BQ14" s="215" t="str">
        <f t="shared" si="22"/>
        <v>Castra Regina Regensburg 3</v>
      </c>
      <c r="BR14" s="214">
        <f t="shared" si="17"/>
        <v>2</v>
      </c>
      <c r="BS14" s="215">
        <f t="shared" si="18"/>
        <v>0</v>
      </c>
      <c r="BT14" s="215">
        <f>IF(COUNTIF(BH14:BL14,"&gt;0")&lt;Spielorte!$A$23,0,BE14/Spielorte!$A$23)</f>
        <v>0</v>
      </c>
      <c r="BU14" s="215">
        <f t="shared" si="19"/>
        <v>0</v>
      </c>
      <c r="BV14" s="214">
        <f t="shared" si="20"/>
        <v>0</v>
      </c>
    </row>
    <row r="15" spans="1:74" ht="17.100000000000001" customHeight="1" thickBot="1" x14ac:dyDescent="0.25">
      <c r="A15" s="375"/>
      <c r="B15" s="21" t="str">
        <f t="shared" si="21"/>
        <v/>
      </c>
      <c r="C15" s="22" t="str">
        <f t="shared" si="21"/>
        <v/>
      </c>
      <c r="D15" s="9" t="str">
        <f t="shared" si="21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6"/>
        <v>0</v>
      </c>
      <c r="BE15" s="213">
        <f t="shared" si="7"/>
        <v>0</v>
      </c>
      <c r="BF15" s="215">
        <f t="shared" si="8"/>
        <v>0</v>
      </c>
      <c r="BG15" s="215">
        <f t="shared" si="9"/>
        <v>0</v>
      </c>
      <c r="BH15" s="215" t="str">
        <f t="shared" si="10"/>
        <v/>
      </c>
      <c r="BI15" s="215" t="str">
        <f t="shared" si="11"/>
        <v/>
      </c>
      <c r="BJ15" s="215" t="str">
        <f t="shared" si="12"/>
        <v/>
      </c>
      <c r="BK15" s="215" t="str">
        <f t="shared" si="13"/>
        <v/>
      </c>
      <c r="BL15" s="215" t="str">
        <f t="shared" si="14"/>
        <v/>
      </c>
      <c r="BM15" s="216"/>
      <c r="BN15" s="214"/>
      <c r="BO15" s="215">
        <f t="shared" si="15"/>
        <v>0</v>
      </c>
      <c r="BP15" s="215">
        <f t="shared" si="16"/>
        <v>0</v>
      </c>
      <c r="BQ15" s="215" t="str">
        <f t="shared" si="22"/>
        <v>Castra Regina Regensburg 3</v>
      </c>
      <c r="BR15" s="214">
        <f t="shared" si="17"/>
        <v>2</v>
      </c>
      <c r="BS15" s="215">
        <f t="shared" si="18"/>
        <v>0</v>
      </c>
      <c r="BT15" s="215">
        <f>IF(COUNTIF(BH15:BL15,"&gt;0")&lt;Spielorte!$A$23,0,BE15/Spielorte!$A$23)</f>
        <v>0</v>
      </c>
      <c r="BU15" s="215">
        <f t="shared" si="19"/>
        <v>0</v>
      </c>
      <c r="BV15" s="214">
        <f t="shared" si="20"/>
        <v>0</v>
      </c>
    </row>
    <row r="16" spans="1:74" ht="17.100000000000001" customHeight="1" x14ac:dyDescent="0.2">
      <c r="A16" s="373" t="s">
        <v>11</v>
      </c>
      <c r="B16" s="17" t="str">
        <f>IF(S16=0,"",S16)</f>
        <v>Aumeier, Bernhard</v>
      </c>
      <c r="C16" s="18">
        <f t="shared" si="21"/>
        <v>25130</v>
      </c>
      <c r="D16" s="14">
        <f t="shared" si="21"/>
        <v>180</v>
      </c>
      <c r="E16" s="352">
        <f>IF(V16="","",V16)</f>
        <v>0</v>
      </c>
      <c r="F16" s="14">
        <f t="shared" si="0"/>
        <v>191</v>
      </c>
      <c r="G16" s="352">
        <f>IF(X16="","",X16)</f>
        <v>1</v>
      </c>
      <c r="H16" s="14">
        <f t="shared" si="1"/>
        <v>168</v>
      </c>
      <c r="I16" s="352">
        <f>IF(Z16="","",Z16)</f>
        <v>0</v>
      </c>
      <c r="J16" s="14">
        <f t="shared" si="2"/>
        <v>176</v>
      </c>
      <c r="K16" s="352">
        <f>IF(AB16="","",AB16)</f>
        <v>1</v>
      </c>
      <c r="L16" s="14">
        <f t="shared" si="3"/>
        <v>185</v>
      </c>
      <c r="M16" s="352">
        <f>IF(AD16="","",AD16)</f>
        <v>0</v>
      </c>
      <c r="N16" s="14">
        <f t="shared" si="4"/>
        <v>900</v>
      </c>
      <c r="O16" s="352">
        <f>IF(AF16="","",AF16)</f>
        <v>2</v>
      </c>
      <c r="R16" s="355" t="s">
        <v>11</v>
      </c>
      <c r="S16" s="68" t="str">
        <f>IF(T16=0,"",VLOOKUP(T16,Starter!$A$1:$D$196,2,FALSE))</f>
        <v>Aumeier, Bernhard</v>
      </c>
      <c r="T16" s="178">
        <v>25130</v>
      </c>
      <c r="U16" s="186">
        <v>180</v>
      </c>
      <c r="V16" s="95">
        <f>IF(SUM(U16:U18)+U28=0,0,IF(ABS(SUM(U16:U18))=U28,0.5,IF(ABS(SUM(U16:U18))&gt;U28,1,0)))</f>
        <v>0</v>
      </c>
      <c r="W16" s="186">
        <v>191</v>
      </c>
      <c r="X16" s="95">
        <f>IF(SUM(W16:W18)+W28=0,0,IF(ABS(SUM(W16:W18))=W28,0.5,IF(ABS(SUM(W16:W18))&gt;W28,1,0)))</f>
        <v>1</v>
      </c>
      <c r="Y16" s="186">
        <v>168</v>
      </c>
      <c r="Z16" s="95">
        <f>IF(SUM(Y16:Y18)+Y28=0,0,IF(ABS(SUM(Y16:Y18))=Y28,0.5,IF(ABS(SUM(Y16:Y18))&gt;Y28,1,0)))</f>
        <v>0</v>
      </c>
      <c r="AA16" s="186">
        <v>176</v>
      </c>
      <c r="AB16" s="95">
        <f>IF(SUM(AA16:AA18)+AA28=0,0,IF(ABS(SUM(AA16:AA18))=AA28,0.5,IF(ABS(SUM(AA16:AA18))&gt;AA28,1,0)))</f>
        <v>1</v>
      </c>
      <c r="AC16" s="186">
        <v>185</v>
      </c>
      <c r="AD16" s="95">
        <f>IF(SUM(AC16:AC18)+AC28=0,0,IF(ABS(SUM(AC16:AC18))=AC28,0.5,IF(ABS(SUM(AC16:AC18))&gt;AC28,1,0)))</f>
        <v>0</v>
      </c>
      <c r="AE16" s="195">
        <f t="shared" si="5"/>
        <v>900</v>
      </c>
      <c r="AF16" s="180">
        <f>SUM(V16+X16+Z16+AB16+AD16)</f>
        <v>2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6"/>
        <v>25130</v>
      </c>
      <c r="BE16" s="213">
        <f t="shared" si="7"/>
        <v>900</v>
      </c>
      <c r="BF16" s="215">
        <f t="shared" si="8"/>
        <v>5</v>
      </c>
      <c r="BG16" s="215">
        <f t="shared" si="9"/>
        <v>5</v>
      </c>
      <c r="BH16" s="215">
        <f t="shared" si="10"/>
        <v>180</v>
      </c>
      <c r="BI16" s="215">
        <f t="shared" si="11"/>
        <v>191</v>
      </c>
      <c r="BJ16" s="215">
        <f t="shared" si="12"/>
        <v>168</v>
      </c>
      <c r="BK16" s="215">
        <f t="shared" si="13"/>
        <v>176</v>
      </c>
      <c r="BL16" s="215">
        <f t="shared" si="14"/>
        <v>185</v>
      </c>
      <c r="BM16" s="216"/>
      <c r="BN16" s="214"/>
      <c r="BO16" s="215">
        <f t="shared" si="15"/>
        <v>191</v>
      </c>
      <c r="BP16" s="215">
        <f t="shared" si="16"/>
        <v>0</v>
      </c>
      <c r="BQ16" s="215" t="str">
        <f t="shared" si="22"/>
        <v>Castra Regina Regensburg 3</v>
      </c>
      <c r="BR16" s="214">
        <f t="shared" si="17"/>
        <v>2</v>
      </c>
      <c r="BS16" s="215">
        <f t="shared" si="18"/>
        <v>900</v>
      </c>
      <c r="BT16" s="215">
        <f>IF(COUNTIF(BH16:BL16,"&gt;0")&lt;Spielorte!$A$23,0,BE16/Spielorte!$A$23)</f>
        <v>180</v>
      </c>
      <c r="BU16" s="215">
        <f t="shared" si="19"/>
        <v>0</v>
      </c>
      <c r="BV16" s="214">
        <f t="shared" si="20"/>
        <v>0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21"/>
        <v/>
      </c>
      <c r="D17" s="15" t="str">
        <f t="shared" si="21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6"/>
        <v>0</v>
      </c>
      <c r="BE17" s="213">
        <f t="shared" si="7"/>
        <v>0</v>
      </c>
      <c r="BF17" s="215">
        <f t="shared" si="8"/>
        <v>0</v>
      </c>
      <c r="BG17" s="215">
        <f t="shared" si="9"/>
        <v>0</v>
      </c>
      <c r="BH17" s="215" t="str">
        <f t="shared" si="10"/>
        <v/>
      </c>
      <c r="BI17" s="215" t="str">
        <f t="shared" si="11"/>
        <v/>
      </c>
      <c r="BJ17" s="215" t="str">
        <f t="shared" si="12"/>
        <v/>
      </c>
      <c r="BK17" s="215" t="str">
        <f t="shared" si="13"/>
        <v/>
      </c>
      <c r="BL17" s="215" t="str">
        <f t="shared" si="14"/>
        <v/>
      </c>
      <c r="BM17" s="216"/>
      <c r="BN17" s="214"/>
      <c r="BO17" s="215">
        <f t="shared" si="15"/>
        <v>0</v>
      </c>
      <c r="BP17" s="215">
        <f t="shared" si="16"/>
        <v>0</v>
      </c>
      <c r="BQ17" s="215" t="str">
        <f t="shared" si="22"/>
        <v>Castra Regina Regensburg 3</v>
      </c>
      <c r="BR17" s="214">
        <f t="shared" si="17"/>
        <v>2</v>
      </c>
      <c r="BS17" s="215">
        <f t="shared" si="18"/>
        <v>0</v>
      </c>
      <c r="BT17" s="215">
        <f>IF(COUNTIF(BH17:BL17,"&gt;0")&lt;Spielorte!$A$23,0,BE17/Spielorte!$A$23)</f>
        <v>0</v>
      </c>
      <c r="BU17" s="215">
        <f t="shared" si="19"/>
        <v>0</v>
      </c>
      <c r="BV17" s="214">
        <f t="shared" si="20"/>
        <v>0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21"/>
        <v/>
      </c>
      <c r="D18" s="9" t="str">
        <f t="shared" si="21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6"/>
        <v>0</v>
      </c>
      <c r="BE18" s="213">
        <f t="shared" si="7"/>
        <v>0</v>
      </c>
      <c r="BF18" s="215">
        <f t="shared" si="8"/>
        <v>0</v>
      </c>
      <c r="BG18" s="215">
        <f t="shared" si="9"/>
        <v>0</v>
      </c>
      <c r="BH18" s="215" t="str">
        <f t="shared" si="10"/>
        <v/>
      </c>
      <c r="BI18" s="215" t="str">
        <f t="shared" si="11"/>
        <v/>
      </c>
      <c r="BJ18" s="215" t="str">
        <f t="shared" si="12"/>
        <v/>
      </c>
      <c r="BK18" s="215" t="str">
        <f t="shared" si="13"/>
        <v/>
      </c>
      <c r="BL18" s="215" t="str">
        <f t="shared" si="14"/>
        <v/>
      </c>
      <c r="BM18" s="216"/>
      <c r="BN18" s="214"/>
      <c r="BO18" s="215">
        <f t="shared" si="15"/>
        <v>0</v>
      </c>
      <c r="BP18" s="215">
        <f t="shared" si="16"/>
        <v>0</v>
      </c>
      <c r="BQ18" s="215" t="str">
        <f t="shared" si="22"/>
        <v>Castra Regina Regensburg 3</v>
      </c>
      <c r="BR18" s="214">
        <f t="shared" si="17"/>
        <v>2</v>
      </c>
      <c r="BS18" s="215">
        <f t="shared" si="18"/>
        <v>0</v>
      </c>
      <c r="BT18" s="215">
        <f>IF(COUNTIF(BH18:BL18,"&gt;0")&lt;Spielorte!$A$23,0,BE18/Spielorte!$A$23)</f>
        <v>0</v>
      </c>
      <c r="BU18" s="215">
        <f t="shared" si="19"/>
        <v>0</v>
      </c>
      <c r="BV18" s="214">
        <f t="shared" si="20"/>
        <v>0</v>
      </c>
    </row>
    <row r="19" spans="1:74" ht="27.75" customHeight="1" thickBot="1" x14ac:dyDescent="0.25">
      <c r="B19" s="11" t="str">
        <f>IF(S19=0,"",S19)</f>
        <v>Gesamt</v>
      </c>
      <c r="C19" s="26" t="str">
        <f t="shared" si="21"/>
        <v/>
      </c>
      <c r="D19" s="16">
        <f t="shared" si="21"/>
        <v>760</v>
      </c>
      <c r="E19" s="12">
        <f>IF(V19="","",V19)</f>
        <v>2</v>
      </c>
      <c r="F19" s="16">
        <f t="shared" si="0"/>
        <v>777</v>
      </c>
      <c r="G19" s="12">
        <f>IF(X19="","",X19)</f>
        <v>2</v>
      </c>
      <c r="H19" s="16">
        <f t="shared" si="1"/>
        <v>667</v>
      </c>
      <c r="I19" s="12">
        <f>IF(Z19="","",Z19)</f>
        <v>0</v>
      </c>
      <c r="J19" s="16">
        <f t="shared" si="2"/>
        <v>617</v>
      </c>
      <c r="K19" s="12">
        <f>IF(AB19="","",AB19)</f>
        <v>0</v>
      </c>
      <c r="L19" s="16">
        <f t="shared" si="3"/>
        <v>729</v>
      </c>
      <c r="M19" s="12">
        <f>IF(AD19="","",AD19)</f>
        <v>2</v>
      </c>
      <c r="N19" s="16">
        <f t="shared" si="4"/>
        <v>3550</v>
      </c>
      <c r="O19" s="12">
        <f>IF(AF19="","",AF19)</f>
        <v>6</v>
      </c>
      <c r="S19" s="11" t="s">
        <v>1791</v>
      </c>
      <c r="T19" s="71"/>
      <c r="U19" s="188">
        <f>ABS(SUM(U7:U9))+ABS(SUM(U10:U12))+ABS(SUM(U13:U15))+ABS(SUM(U16:U18))</f>
        <v>760</v>
      </c>
      <c r="V19" s="98">
        <f>IF(U19+U29=0,0,IF(U19=U29,1,IF(U19&gt;U29,2,0)))</f>
        <v>2</v>
      </c>
      <c r="W19" s="188">
        <f>ABS(SUM(W7:W9))+ABS(SUM(W10:W12))+ABS(SUM(W13:W15))+ABS(SUM(W16:W18))</f>
        <v>777</v>
      </c>
      <c r="X19" s="98">
        <f>IF(W19+W29=0,0,IF(W19=W29,1,IF(W19&gt;W29,2,0)))</f>
        <v>2</v>
      </c>
      <c r="Y19" s="188">
        <f>ABS(SUM(Y7:Y9))+ABS(SUM(Y10:Y12))+ABS(SUM(Y13:Y15))+ABS(SUM(Y16:Y18))</f>
        <v>667</v>
      </c>
      <c r="Z19" s="98">
        <f>IF(Y19+Y29=0,0,IF(Y19=Y29,1,IF(Y19&gt;Y29,2,0)))</f>
        <v>0</v>
      </c>
      <c r="AA19" s="188">
        <f>ABS(SUM(AA7:AA9))+ABS(SUM(AA10:AA12))+ABS(SUM(AA13:AA15))+ABS(SUM(AA16:AA18))</f>
        <v>617</v>
      </c>
      <c r="AB19" s="98">
        <f>IF(AA19+AA29=0,0,IF(AA19=AA29,1,IF(AA19&gt;AA29,2,0)))</f>
        <v>0</v>
      </c>
      <c r="AC19" s="188">
        <f>ABS(SUM(AC7:AC9))+ABS(SUM(AC10:AC12))+ABS(SUM(AC13:AC15))+ABS(SUM(AC16:AC18))</f>
        <v>729</v>
      </c>
      <c r="AD19" s="98">
        <f>IF(AC19+AC29=0,0,IF(AC19=AC29,1,IF(AC19&gt;AC29,2,0)))</f>
        <v>2</v>
      </c>
      <c r="AE19" s="198">
        <f>SUM(U19+W19+Y19+AA19+AC19)</f>
        <v>3550</v>
      </c>
      <c r="AF19" s="12">
        <f>SUM(V19+X19+Z19+AB19+AD19)</f>
        <v>6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21"/>
        <v/>
      </c>
      <c r="D20" s="1" t="str">
        <f t="shared" si="21"/>
        <v/>
      </c>
      <c r="E20" s="23">
        <f>IF(V20="","",V20)</f>
        <v>5</v>
      </c>
      <c r="F20" s="1" t="str">
        <f t="shared" si="0"/>
        <v/>
      </c>
      <c r="G20" s="23">
        <f>IF(X20="","",X20)</f>
        <v>5</v>
      </c>
      <c r="H20" s="1" t="str">
        <f t="shared" si="1"/>
        <v/>
      </c>
      <c r="I20" s="23">
        <f>IF(Z20="","",Z20)</f>
        <v>1</v>
      </c>
      <c r="J20" s="1" t="str">
        <f t="shared" si="2"/>
        <v/>
      </c>
      <c r="K20" s="23">
        <f>IF(AB20="","",AB20)</f>
        <v>2</v>
      </c>
      <c r="L20" s="1" t="str">
        <f t="shared" si="3"/>
        <v/>
      </c>
      <c r="M20" s="23">
        <f>IF(AD20="","",AD20)</f>
        <v>4</v>
      </c>
      <c r="N20" s="1" t="str">
        <f t="shared" si="4"/>
        <v/>
      </c>
      <c r="O20" s="23">
        <f>IF(AF20="","",AF20)</f>
        <v>17</v>
      </c>
      <c r="S20" s="8" t="s">
        <v>1802</v>
      </c>
      <c r="T20" s="1"/>
      <c r="U20" s="1"/>
      <c r="V20" s="72">
        <f>SUM(V7:V19)</f>
        <v>5</v>
      </c>
      <c r="W20" s="1"/>
      <c r="X20" s="72">
        <f>SUM(X7:X19)</f>
        <v>5</v>
      </c>
      <c r="Y20" s="1"/>
      <c r="Z20" s="72">
        <f>SUM(Z7:Z19)</f>
        <v>1</v>
      </c>
      <c r="AA20" s="1"/>
      <c r="AB20" s="72">
        <f>SUM(AB7:AB19)</f>
        <v>2</v>
      </c>
      <c r="AC20" s="1"/>
      <c r="AD20" s="72">
        <f>SUM(AD7:AD19)</f>
        <v>4</v>
      </c>
      <c r="AE20" s="1"/>
      <c r="AF20" s="72">
        <f>SUM(AF7:AF19)</f>
        <v>17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17</v>
      </c>
      <c r="BB20" s="213">
        <f>AE19</f>
        <v>3550</v>
      </c>
      <c r="BC20" s="214">
        <f>+S2</f>
        <v>1</v>
      </c>
      <c r="BF20" s="215">
        <f>SUM(BF1:BF19)</f>
        <v>20</v>
      </c>
      <c r="BM20" s="212">
        <f>+BB20/1000000+BA20</f>
        <v>17.003550000000001</v>
      </c>
      <c r="BN20" s="214">
        <f>RANK(BM20,BM:BM)</f>
        <v>3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M22" si="23">IF(S22=0,"",S22)</f>
        <v>Gegner-Nr.:</v>
      </c>
      <c r="C22" s="5" t="str">
        <f t="shared" si="23"/>
        <v>&gt;&gt;&gt;&gt;</v>
      </c>
      <c r="D22" s="350">
        <f t="shared" si="23"/>
        <v>3</v>
      </c>
      <c r="E22" s="350" t="str">
        <f t="shared" si="23"/>
        <v/>
      </c>
      <c r="F22" s="350">
        <f t="shared" si="23"/>
        <v>5</v>
      </c>
      <c r="G22" s="350" t="str">
        <f t="shared" si="23"/>
        <v/>
      </c>
      <c r="H22" s="350">
        <f t="shared" si="23"/>
        <v>4</v>
      </c>
      <c r="I22" s="350" t="str">
        <f t="shared" si="23"/>
        <v/>
      </c>
      <c r="J22" s="350">
        <f t="shared" si="23"/>
        <v>2</v>
      </c>
      <c r="K22" s="350" t="str">
        <f t="shared" si="23"/>
        <v/>
      </c>
      <c r="L22" s="350">
        <f t="shared" si="23"/>
        <v>6</v>
      </c>
      <c r="M22" s="350" t="str">
        <f t="shared" si="23"/>
        <v/>
      </c>
      <c r="N22" s="351"/>
      <c r="O22" s="351"/>
      <c r="S22" s="13" t="s">
        <v>1789</v>
      </c>
      <c r="T22" s="5" t="s">
        <v>1790</v>
      </c>
      <c r="U22" s="369">
        <f>VLOOKUP($S2,Schlüssel!$A$5:$DG$10,63)</f>
        <v>3</v>
      </c>
      <c r="V22" s="370"/>
      <c r="W22" s="369">
        <f>VLOOKUP($S2,Schlüssel!$A$5:$EK$10,64)</f>
        <v>5</v>
      </c>
      <c r="X22" s="370"/>
      <c r="Y22" s="369">
        <f>VLOOKUP($S2,Schlüssel!$A$5:$EK$10,65)</f>
        <v>4</v>
      </c>
      <c r="Z22" s="370"/>
      <c r="AA22" s="369">
        <f>VLOOKUP($S2,Schlüssel!$A$5:$EK$10,66)</f>
        <v>2</v>
      </c>
      <c r="AB22" s="370"/>
      <c r="AC22" s="369">
        <f>VLOOKUP($S2,Schlüssel!$A$5:$EK$10,67)</f>
        <v>6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ref="B23:K24" si="24">IF(S23=0,"",S23)</f>
        <v/>
      </c>
      <c r="C23" s="1" t="str">
        <f t="shared" si="24"/>
        <v/>
      </c>
      <c r="D23" s="347" t="str">
        <f t="shared" si="24"/>
        <v>Kings Club Bayreuth Land 2</v>
      </c>
      <c r="E23" s="348" t="str">
        <f t="shared" si="24"/>
        <v/>
      </c>
      <c r="F23" s="347" t="str">
        <f t="shared" si="24"/>
        <v>Castra Regina Regensburg 2</v>
      </c>
      <c r="G23" s="348" t="str">
        <f t="shared" si="24"/>
        <v/>
      </c>
      <c r="H23" s="347" t="str">
        <f t="shared" si="24"/>
        <v>Kings Club Bayreuth Land 3</v>
      </c>
      <c r="I23" s="348" t="str">
        <f t="shared" si="24"/>
        <v/>
      </c>
      <c r="J23" s="347" t="str">
        <f t="shared" si="24"/>
        <v>Herzogenaurach 1</v>
      </c>
      <c r="K23" s="348" t="str">
        <f t="shared" si="24"/>
        <v/>
      </c>
      <c r="L23" s="347" t="str">
        <f>IF(AC23=0,"",AC23)</f>
        <v>Adler Nürnberg 1</v>
      </c>
      <c r="M23" s="348" t="str">
        <f>IF(AD23=0,"",AD23)</f>
        <v/>
      </c>
      <c r="N23" s="349"/>
      <c r="O23" s="349"/>
      <c r="S23" s="4"/>
      <c r="T23" s="1"/>
      <c r="U23" s="347" t="str">
        <f>VLOOKUP(U22,Schlüssel!$A$5:$K$10,2)</f>
        <v>Kings Club Bayreuth Land 2</v>
      </c>
      <c r="V23" s="348"/>
      <c r="W23" s="347" t="str">
        <f>VLOOKUP(W22,Schlüssel!$A$5:$K$10,2)</f>
        <v>Castra Regina Regensburg 2</v>
      </c>
      <c r="X23" s="348"/>
      <c r="Y23" s="347" t="str">
        <f>VLOOKUP(Y22,Schlüssel!$A$5:$K$10,2)</f>
        <v>Kings Club Bayreuth Land 3</v>
      </c>
      <c r="Z23" s="348"/>
      <c r="AA23" s="347" t="str">
        <f>VLOOKUP(AA22,Schlüssel!$A$5:$K$10,2)</f>
        <v>Herzogenaurach 1</v>
      </c>
      <c r="AB23" s="348"/>
      <c r="AC23" s="347" t="str">
        <f>VLOOKUP(AC22,Schlüssel!$A$5:$K$10,2)</f>
        <v>Adler Nürnberg 1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4"/>
        <v/>
      </c>
      <c r="C24" s="1" t="str">
        <f t="shared" si="24"/>
        <v/>
      </c>
      <c r="D24" s="346" t="str">
        <f t="shared" si="24"/>
        <v/>
      </c>
      <c r="E24" s="346" t="str">
        <f t="shared" si="24"/>
        <v/>
      </c>
      <c r="F24" s="346" t="str">
        <f t="shared" si="24"/>
        <v/>
      </c>
      <c r="G24" s="346" t="str">
        <f t="shared" si="24"/>
        <v/>
      </c>
      <c r="H24" s="346" t="str">
        <f t="shared" si="24"/>
        <v/>
      </c>
      <c r="I24" s="346" t="str">
        <f t="shared" si="24"/>
        <v/>
      </c>
      <c r="J24" s="346" t="str">
        <f t="shared" si="24"/>
        <v/>
      </c>
      <c r="K24" s="346" t="str">
        <f t="shared" si="24"/>
        <v/>
      </c>
      <c r="L24" s="346" t="str">
        <f>IF(AC24=0,"",AC24)</f>
        <v/>
      </c>
      <c r="M24" s="346" t="str">
        <f>IF(AD24=0,"",AD24)</f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192</v>
      </c>
      <c r="E25" s="344" t="str">
        <f>IF(V25=0,"",V25)</f>
        <v/>
      </c>
      <c r="F25" s="344">
        <f>IF(W25=301,"",W25)</f>
        <v>232</v>
      </c>
      <c r="G25" s="344" t="str">
        <f>IF(X25=0,"",X25)</f>
        <v/>
      </c>
      <c r="H25" s="344">
        <f>IF(Y25=301,"",Y25)</f>
        <v>160</v>
      </c>
      <c r="I25" s="344" t="str">
        <f>IF(Z25=0,"",Z25)</f>
        <v/>
      </c>
      <c r="J25" s="344">
        <f>IF(AA25=301,"",AA25)</f>
        <v>160</v>
      </c>
      <c r="K25" s="344" t="str">
        <f>IF(AB25=0,"",AB25)</f>
        <v/>
      </c>
      <c r="L25" s="344">
        <f>IF(AC25=301,"",AC25)</f>
        <v>182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192</v>
      </c>
      <c r="V25" s="368"/>
      <c r="W25" s="367">
        <f>ABS(INDEX(W:W,MATCH(W22,$S:$S,0)+5)+INDEX(W:W,MATCH(W22,$S:$S,0)+6)+INDEX(W:W,MATCH(W22,$S:$S,0)+7))</f>
        <v>232</v>
      </c>
      <c r="X25" s="368"/>
      <c r="Y25" s="367">
        <f>ABS(INDEX(Y:Y,MATCH(Y22,$S:$S,0)+5)+INDEX(Y:Y,MATCH(Y22,$S:$S,0)+6)+INDEX(Y:Y,MATCH(Y22,$S:$S,0)+7))</f>
        <v>160</v>
      </c>
      <c r="Z25" s="368"/>
      <c r="AA25" s="367">
        <f>ABS(INDEX(AA:AA,MATCH(AA22,$S:$S,0)+5)+INDEX(AA:AA,MATCH(AA22,$S:$S,0)+6)+INDEX(AA:AA,MATCH(AA22,$S:$S,0)+7))</f>
        <v>160</v>
      </c>
      <c r="AB25" s="368"/>
      <c r="AC25" s="367">
        <f>ABS(INDEX(AC:AC,MATCH(AC22,$S:$S,0)+5)+INDEX(AC:AC,MATCH(AC22,$S:$S,0)+6)+INDEX(AC:AC,MATCH(AC22,$S:$S,0)+7))</f>
        <v>182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132</v>
      </c>
      <c r="E26" s="344" t="str">
        <f>IF(V26=0,"",V26)</f>
        <v/>
      </c>
      <c r="F26" s="344">
        <f>IF(W26=301,"",W26)</f>
        <v>165</v>
      </c>
      <c r="G26" s="344" t="str">
        <f>IF(X26=0,"",X26)</f>
        <v/>
      </c>
      <c r="H26" s="344">
        <f>IF(Y26=301,"",Y26)</f>
        <v>181</v>
      </c>
      <c r="I26" s="344" t="str">
        <f>IF(Z26=0,"",Z26)</f>
        <v/>
      </c>
      <c r="J26" s="344">
        <f>IF(AA26=301,"",AA26)</f>
        <v>195</v>
      </c>
      <c r="K26" s="344" t="str">
        <f>IF(AB26=0,"",AB26)</f>
        <v/>
      </c>
      <c r="L26" s="344">
        <f>IF(AC26=301,"",AC26)</f>
        <v>179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132</v>
      </c>
      <c r="V26" s="366"/>
      <c r="W26" s="365">
        <f>ABS(INDEX(W:W,MATCH(W22,$S:$S,0)+8)+INDEX(W:W,MATCH(W22,$S:$S,0)+9)+INDEX(W:W,MATCH(W22,$S:$S,0)+10))</f>
        <v>165</v>
      </c>
      <c r="X26" s="366"/>
      <c r="Y26" s="365">
        <f>ABS(INDEX(Y:Y,MATCH(Y22,$S:$S,0)+8)+INDEX(Y:Y,MATCH(Y22,$S:$S,0)+9)+INDEX(Y:Y,MATCH(Y22,$S:$S,0)+10))</f>
        <v>181</v>
      </c>
      <c r="Z26" s="366"/>
      <c r="AA26" s="365">
        <f>ABS(INDEX(AA:AA,MATCH(AA22,$S:$S,0)+8)+INDEX(AA:AA,MATCH(AA22,$S:$S,0)+9)+INDEX(AA:AA,MATCH(AA22,$S:$S,0)+10))</f>
        <v>195</v>
      </c>
      <c r="AB26" s="366"/>
      <c r="AC26" s="365">
        <f>ABS(INDEX(AC:AC,MATCH(AC22,$S:$S,0)+8)+INDEX(AC:AC,MATCH(AC22,$S:$S,0)+9)+INDEX(AC:AC,MATCH(AC22,$S:$S,0)+10))</f>
        <v>179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116</v>
      </c>
      <c r="E27" s="344" t="str">
        <f>IF(V27=0,"",V27)</f>
        <v/>
      </c>
      <c r="F27" s="344">
        <f>IF(W27=301,"",W27)</f>
        <v>164</v>
      </c>
      <c r="G27" s="344" t="str">
        <f>IF(X27=0,"",X27)</f>
        <v/>
      </c>
      <c r="H27" s="344">
        <f>IF(Y27=301,"",Y27)</f>
        <v>255</v>
      </c>
      <c r="I27" s="344" t="str">
        <f>IF(Z27=0,"",Z27)</f>
        <v/>
      </c>
      <c r="J27" s="344">
        <f>IF(AA27=301,"",AA27)</f>
        <v>212</v>
      </c>
      <c r="K27" s="344" t="str">
        <f>IF(AB27=0,"",AB27)</f>
        <v/>
      </c>
      <c r="L27" s="344">
        <f>IF(AC27=301,"",AC27)</f>
        <v>153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116</v>
      </c>
      <c r="V27" s="366"/>
      <c r="W27" s="365">
        <f>ABS(INDEX(W:W,MATCH(W22,$S:$S,0)+11)+INDEX(W:W,MATCH(W22,$S:$S,0)+12)+INDEX(W:W,MATCH(W22,$S:$S,0)+13))</f>
        <v>164</v>
      </c>
      <c r="X27" s="366"/>
      <c r="Y27" s="365">
        <f>ABS(INDEX(Y:Y,MATCH(Y22,$S:$S,0)+11)+INDEX(Y:Y,MATCH(Y22,$S:$S,0)+12)+INDEX(Y:Y,MATCH(Y22,$S:$S,0)+13))</f>
        <v>255</v>
      </c>
      <c r="Z27" s="366"/>
      <c r="AA27" s="365">
        <f>ABS(INDEX(AA:AA,MATCH(AA22,$S:$S,0)+11)+INDEX(AA:AA,MATCH(AA22,$S:$S,0)+12)+INDEX(AA:AA,MATCH(AA22,$S:$S,0)+13))</f>
        <v>212</v>
      </c>
      <c r="AB27" s="366"/>
      <c r="AC27" s="365">
        <f>ABS(INDEX(AC:AC,MATCH(AC22,$S:$S,0)+11)+INDEX(AC:AC,MATCH(AC22,$S:$S,0)+12)+INDEX(AC:AC,MATCH(AC22,$S:$S,0)+13))</f>
        <v>153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200</v>
      </c>
      <c r="E28" s="344" t="str">
        <f>IF(V28=0,"",V28)</f>
        <v/>
      </c>
      <c r="F28" s="344">
        <f>IF(W28=301,"",W28)</f>
        <v>178</v>
      </c>
      <c r="G28" s="344" t="str">
        <f>IF(X28=0,"",X28)</f>
        <v/>
      </c>
      <c r="H28" s="344">
        <f>IF(Y28=301,"",Y28)</f>
        <v>172</v>
      </c>
      <c r="I28" s="344" t="str">
        <f>IF(Z28=0,"",Z28)</f>
        <v/>
      </c>
      <c r="J28" s="344">
        <f>IF(AA28=301,"",AA28)</f>
        <v>152</v>
      </c>
      <c r="K28" s="344" t="str">
        <f>IF(AB28=0,"",AB28)</f>
        <v/>
      </c>
      <c r="L28" s="344">
        <f>IF(AC28=301,"",AC28)</f>
        <v>186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200</v>
      </c>
      <c r="V28" s="366"/>
      <c r="W28" s="365">
        <f>ABS(INDEX(W:W,MATCH(W22,$S:$S,0)+14)+INDEX(W:W,MATCH(W22,$S:$S,0)+15)+INDEX(W:W,MATCH(W22,$S:$S,0)+16))</f>
        <v>178</v>
      </c>
      <c r="X28" s="366"/>
      <c r="Y28" s="365">
        <f>ABS(INDEX(Y:Y,MATCH(Y22,$S:$S,0)+14)+INDEX(Y:Y,MATCH(Y22,$S:$S,0)+15)+INDEX(Y:Y,MATCH(Y22,$S:$S,0)+16))</f>
        <v>172</v>
      </c>
      <c r="Z28" s="366"/>
      <c r="AA28" s="365">
        <f>ABS(INDEX(AA:AA,MATCH(AA22,$S:$S,0)+14)+INDEX(AA:AA,MATCH(AA22,$S:$S,0)+15)+INDEX(AA:AA,MATCH(AA22,$S:$S,0)+16))</f>
        <v>152</v>
      </c>
      <c r="AB28" s="366"/>
      <c r="AC28" s="365">
        <f>ABS(INDEX(AC:AC,MATCH(AC22,$S:$S,0)+14)+INDEX(AC:AC,MATCH(AC22,$S:$S,0)+15)+INDEX(AC:AC,MATCH(AC22,$S:$S,0)+16))</f>
        <v>186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640</v>
      </c>
      <c r="E29" s="343" t="str">
        <f>IF(V29=0,"",V29)</f>
        <v/>
      </c>
      <c r="F29" s="343">
        <f>IF(W29=1505,"",W29)</f>
        <v>739</v>
      </c>
      <c r="G29" s="343" t="str">
        <f>IF(X29=0,"",X29)</f>
        <v/>
      </c>
      <c r="H29" s="343">
        <f>IF(Y29=1505,"",Y29)</f>
        <v>768</v>
      </c>
      <c r="I29" s="343" t="str">
        <f>IF(Z29=0,"",Z29)</f>
        <v/>
      </c>
      <c r="J29" s="343">
        <f>IF(AA29=1505,"",AA29)</f>
        <v>719</v>
      </c>
      <c r="K29" s="343" t="str">
        <f>IF(AB29=0,"",AB29)</f>
        <v/>
      </c>
      <c r="L29" s="343">
        <f>IF(AC29=1505,"",AC29)</f>
        <v>700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640</v>
      </c>
      <c r="V29" s="360"/>
      <c r="W29" s="359">
        <f>SUM(W25:W28)</f>
        <v>739</v>
      </c>
      <c r="X29" s="360"/>
      <c r="Y29" s="359">
        <f>SUM(Y25:Y28)</f>
        <v>768</v>
      </c>
      <c r="Z29" s="360"/>
      <c r="AA29" s="359">
        <f>SUM(AA25:AA28)</f>
        <v>719</v>
      </c>
      <c r="AB29" s="360"/>
      <c r="AC29" s="359">
        <f>SUM(AC25:AC28)</f>
        <v>700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 t="str">
        <f>Schlüssel!$BU$1</f>
        <v>02.03.</v>
      </c>
      <c r="N31" s="376"/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Schlüssel!$BU$1</f>
        <v>02.03.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Regensburg Super Bowl</v>
      </c>
      <c r="F32" s="77"/>
      <c r="G32" s="77"/>
      <c r="H32" s="77"/>
      <c r="I32" s="77"/>
      <c r="J32" s="77"/>
      <c r="K32" s="77"/>
      <c r="L32" s="29" t="str">
        <f>AC32</f>
        <v>Spieltag:</v>
      </c>
      <c r="M32" s="86">
        <f>AD32</f>
        <v>4</v>
      </c>
      <c r="N32" s="28"/>
      <c r="R32" s="49"/>
      <c r="S32" s="50">
        <v>2</v>
      </c>
      <c r="U32" s="30" t="s">
        <v>1786</v>
      </c>
      <c r="V32" s="84" t="str">
        <f>Schlüssel!$BK$2</f>
        <v>Regensburg Super Bowl</v>
      </c>
      <c r="X32" s="77"/>
      <c r="Y32" s="77"/>
      <c r="Z32" s="77"/>
      <c r="AA32" s="77"/>
      <c r="AB32" s="77"/>
      <c r="AC32" s="29" t="s">
        <v>1784</v>
      </c>
      <c r="AD32" s="34">
        <v>4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VLOOKUP(S32,Schlüssel!$A$5:$DZ$10,73)</f>
        <v>13</v>
      </c>
      <c r="W34" s="193" t="s">
        <v>10</v>
      </c>
      <c r="X34" s="191">
        <f>VLOOKUP(S32,Schlüssel!$A$5:$DZ$10,74)</f>
        <v>15</v>
      </c>
      <c r="Y34" s="193" t="s">
        <v>10</v>
      </c>
      <c r="Z34" s="191">
        <f>VLOOKUP(S32,Schlüssel!$A$5:$DZ$10,75)</f>
        <v>12</v>
      </c>
      <c r="AA34" s="193" t="s">
        <v>10</v>
      </c>
      <c r="AB34" s="191">
        <f>VLOOKUP(S32,Schlüssel!$A$5:$DZ$10,76)</f>
        <v>16</v>
      </c>
      <c r="AC34" s="193" t="s">
        <v>10</v>
      </c>
      <c r="AD34" s="192">
        <f>VLOOKUP(S32,Schlüssel!$A$5:$DZ$10,77)</f>
        <v>14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>Arnold, Nadine</v>
      </c>
      <c r="C37" s="18">
        <f>IF(T37=0,"",T37)</f>
        <v>25378</v>
      </c>
      <c r="D37" s="14">
        <f>IF(U37=0,"",U37)</f>
        <v>182</v>
      </c>
      <c r="E37" s="352">
        <f>IF(V37="","",V37)</f>
        <v>0</v>
      </c>
      <c r="F37" s="14">
        <f t="shared" ref="F37:F50" si="26">IF(W37=0,"",W37)</f>
        <v>162</v>
      </c>
      <c r="G37" s="352">
        <f>IF(X37="","",X37)</f>
        <v>1</v>
      </c>
      <c r="H37" s="14">
        <f t="shared" ref="H37:H50" si="27">IF(Y37=0,"",Y37)</f>
        <v>163</v>
      </c>
      <c r="I37" s="352">
        <f>IF(Z37="","",Z37)</f>
        <v>0</v>
      </c>
      <c r="J37" s="14" t="str">
        <f t="shared" ref="J37:J50" si="28">IF(AA37=0,"",AA37)</f>
        <v/>
      </c>
      <c r="K37" s="352">
        <f>IF(AB37="","",AB37)</f>
        <v>0</v>
      </c>
      <c r="L37" s="14" t="str">
        <f t="shared" ref="L37:L50" si="29">IF(AC37=0,"",AC37)</f>
        <v/>
      </c>
      <c r="M37" s="352">
        <f>IF(AD37="","",AD37)</f>
        <v>0</v>
      </c>
      <c r="N37" s="14">
        <f t="shared" ref="N37:N50" si="30">IF(AE37=0,"",AE37)</f>
        <v>507</v>
      </c>
      <c r="O37" s="352">
        <f>IF(AF37="","",AF37)</f>
        <v>1</v>
      </c>
      <c r="R37" s="355" t="s">
        <v>0</v>
      </c>
      <c r="S37" s="68" t="str">
        <f>IF(T37=0,"",VLOOKUP(T37,Starter!$A$1:$D$196,2,FALSE))</f>
        <v>Arnold, Nadine</v>
      </c>
      <c r="T37" s="175">
        <v>25378</v>
      </c>
      <c r="U37" s="183">
        <v>182</v>
      </c>
      <c r="V37" s="95">
        <f>IF(SUM(U37:U39)+U55=0,0,IF(ABS(SUM(U37:U39))=U55,0.5,IF(ABS(SUM(U37:U39))&gt;U55,1,0)))</f>
        <v>0</v>
      </c>
      <c r="W37" s="183">
        <v>162</v>
      </c>
      <c r="X37" s="95">
        <f>IF(SUM(W37:W39)+W55=0,0,IF(ABS(SUM(W37:W39))=W55,0.5,IF(ABS(SUM(W37:W39))&gt;W55,1,0)))</f>
        <v>1</v>
      </c>
      <c r="Y37" s="183">
        <v>163</v>
      </c>
      <c r="Z37" s="95">
        <f>IF(SUM(Y37:Y39)+Y55=0,0,IF(ABS(SUM(Y37:Y39))=Y55,0.5,IF(ABS(SUM(Y37:Y39))&gt;Y55,1,0)))</f>
        <v>0</v>
      </c>
      <c r="AA37" s="189"/>
      <c r="AB37" s="95">
        <f>IF(SUM(AA37:AA39)+AA55=0,0,IF(ABS(SUM(AA37:AA39))=AA55,0.5,IF(ABS(SUM(AA37:AA39))&gt;AA55,1,0)))</f>
        <v>0</v>
      </c>
      <c r="AC37" s="183"/>
      <c r="AD37" s="95">
        <f>IF(SUM(AC37:AC39)+AC55=0,0,IF(ABS(SUM(AC37:AC39))=AC55,0.5,IF(ABS(SUM(AC37:AC39))&gt;AC55,1,0)))</f>
        <v>0</v>
      </c>
      <c r="AE37" s="195">
        <f t="shared" ref="AE37:AE48" si="31">ABS(SUM(U37:U37))+ABS(SUM(W37:W37))+ABS(SUM(Y37:Y37))+ABS(SUM(AA37:AA37))+ABS(SUM(AC37:AC37))</f>
        <v>507</v>
      </c>
      <c r="AF37" s="180">
        <f>SUM(V37+X37+Z37+AB37+AD37)</f>
        <v>1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25378</v>
      </c>
      <c r="BE37" s="213">
        <f t="shared" ref="BE37:BE48" si="33">AE37</f>
        <v>507</v>
      </c>
      <c r="BF37" s="215">
        <f t="shared" ref="BF37:BF48" si="34">COUNT(BH37:BL37)</f>
        <v>3</v>
      </c>
      <c r="BG37" s="215">
        <f t="shared" ref="BG37:BG48" si="35">COUNTIF(BH37:BL37,"&gt;0")</f>
        <v>3</v>
      </c>
      <c r="BH37" s="215">
        <f t="shared" ref="BH37:BH48" si="36">IF(U37=0,"",U37)</f>
        <v>182</v>
      </c>
      <c r="BI37" s="215">
        <f t="shared" ref="BI37:BI48" si="37">IF(W37=0,"",W37)</f>
        <v>162</v>
      </c>
      <c r="BJ37" s="215">
        <f t="shared" ref="BJ37:BJ48" si="38">IF(Y37=0,"",Y37)</f>
        <v>163</v>
      </c>
      <c r="BK37" s="215" t="str">
        <f t="shared" ref="BK37:BK48" si="39">IF(AA37=0,"",AA37)</f>
        <v/>
      </c>
      <c r="BL37" s="215" t="str">
        <f t="shared" ref="BL37:BL48" si="40">IF(AC37=0,"",AC37)</f>
        <v/>
      </c>
      <c r="BM37" s="216"/>
      <c r="BN37" s="214"/>
      <c r="BO37" s="215">
        <f t="shared" ref="BO37:BO48" si="41">MAX(BH37:BL37)</f>
        <v>182</v>
      </c>
      <c r="BP37" s="215">
        <f t="shared" ref="BP37:BP48" si="42">IF(BO37&lt;MAX(BO:BO),0,BO37+ROW()/1000000000)</f>
        <v>0</v>
      </c>
      <c r="BQ37" s="215" t="str">
        <f>+S33</f>
        <v>Herzogenaurach 1</v>
      </c>
      <c r="BR37" s="214">
        <f t="shared" ref="BR37:BR48" si="43">RANK(BP37,BP:BP)</f>
        <v>2</v>
      </c>
      <c r="BS37" s="215">
        <f t="shared" ref="BS37:BS48" si="44">SUMIF(BH37:BL37,"&gt;0")</f>
        <v>507</v>
      </c>
      <c r="BT37" s="215">
        <f>IF(COUNTIF(BH37:BL37,"&gt;0")&lt;Spielorte!$A$23,0,BE37/Spielorte!$A$23)</f>
        <v>0</v>
      </c>
      <c r="BU37" s="215">
        <f t="shared" ref="BU37:BU48" si="45">IF(BT37&lt;MAX(BT:BT),0,BT37+ROW()/1000000000)</f>
        <v>0</v>
      </c>
      <c r="BV37" s="214">
        <f t="shared" ref="BV37:BV48" si="46">IF(BU37=0,0,RANK(BU37,BU:BU))</f>
        <v>0</v>
      </c>
    </row>
    <row r="38" spans="1:74" ht="17.100000000000001" customHeight="1" x14ac:dyDescent="0.2">
      <c r="A38" s="374"/>
      <c r="B38" s="19" t="str">
        <f t="shared" ref="B38:D50" si="47">IF(S38=0,"",S38)</f>
        <v>Voss, Horst</v>
      </c>
      <c r="C38" s="20">
        <f t="shared" si="47"/>
        <v>7282</v>
      </c>
      <c r="D38" s="15" t="str">
        <f t="shared" si="47"/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>
        <f t="shared" si="28"/>
        <v>160</v>
      </c>
      <c r="K38" s="353"/>
      <c r="L38" s="15">
        <f t="shared" si="29"/>
        <v>175</v>
      </c>
      <c r="M38" s="353"/>
      <c r="N38" s="15">
        <f t="shared" si="30"/>
        <v>335</v>
      </c>
      <c r="O38" s="353"/>
      <c r="R38" s="356"/>
      <c r="S38" s="68" t="str">
        <f>IF(T38=0,"",VLOOKUP(T38,Starter!$A$1:$D$196,2,FALSE))</f>
        <v>Voss, Horst</v>
      </c>
      <c r="T38" s="176">
        <v>7282</v>
      </c>
      <c r="U38" s="184"/>
      <c r="V38" s="96"/>
      <c r="W38" s="184"/>
      <c r="X38" s="96"/>
      <c r="Y38" s="184"/>
      <c r="Z38" s="96"/>
      <c r="AA38" s="184">
        <v>160</v>
      </c>
      <c r="AB38" s="96"/>
      <c r="AC38" s="184">
        <v>175</v>
      </c>
      <c r="AD38" s="96"/>
      <c r="AE38" s="196">
        <f t="shared" si="31"/>
        <v>335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7282</v>
      </c>
      <c r="BE38" s="213">
        <f t="shared" si="33"/>
        <v>335</v>
      </c>
      <c r="BF38" s="215">
        <f t="shared" si="34"/>
        <v>2</v>
      </c>
      <c r="BG38" s="215">
        <f t="shared" si="35"/>
        <v>2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>
        <f t="shared" si="39"/>
        <v>160</v>
      </c>
      <c r="BL38" s="215">
        <f t="shared" si="40"/>
        <v>175</v>
      </c>
      <c r="BM38" s="216"/>
      <c r="BN38" s="214"/>
      <c r="BO38" s="215">
        <f t="shared" si="41"/>
        <v>175</v>
      </c>
      <c r="BP38" s="215">
        <f t="shared" si="42"/>
        <v>0</v>
      </c>
      <c r="BQ38" s="215" t="str">
        <f t="shared" ref="BQ38:BQ48" si="48">+BQ37</f>
        <v>Herzogenaurach 1</v>
      </c>
      <c r="BR38" s="214">
        <f t="shared" si="43"/>
        <v>2</v>
      </c>
      <c r="BS38" s="215">
        <f t="shared" si="44"/>
        <v>335</v>
      </c>
      <c r="BT38" s="215">
        <f>IF(COUNTIF(BH38:BL38,"&gt;0")&lt;Spielorte!$A$23,0,BE38/Spielorte!$A$23)</f>
        <v>0</v>
      </c>
      <c r="BU38" s="215">
        <f t="shared" si="45"/>
        <v>0</v>
      </c>
      <c r="BV38" s="214">
        <f t="shared" si="46"/>
        <v>0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7"/>
        <v/>
      </c>
      <c r="D39" s="9" t="str">
        <f t="shared" si="47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0</v>
      </c>
      <c r="BQ39" s="215" t="str">
        <f t="shared" si="48"/>
        <v>Herzogenaurach 1</v>
      </c>
      <c r="BR39" s="214">
        <f t="shared" si="43"/>
        <v>2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0</v>
      </c>
      <c r="BV39" s="214">
        <f t="shared" si="46"/>
        <v>0</v>
      </c>
    </row>
    <row r="40" spans="1:74" ht="17.100000000000001" customHeight="1" x14ac:dyDescent="0.2">
      <c r="A40" s="373" t="s">
        <v>2</v>
      </c>
      <c r="B40" s="17" t="str">
        <f t="shared" si="47"/>
        <v>Inkermann, Matthias</v>
      </c>
      <c r="C40" s="18">
        <f t="shared" si="47"/>
        <v>25760</v>
      </c>
      <c r="D40" s="14">
        <f t="shared" si="47"/>
        <v>200</v>
      </c>
      <c r="E40" s="352">
        <f>IF(V40="","",V40)</f>
        <v>1</v>
      </c>
      <c r="F40" s="14">
        <f t="shared" si="26"/>
        <v>249</v>
      </c>
      <c r="G40" s="352">
        <f>IF(X40="","",X40)</f>
        <v>1</v>
      </c>
      <c r="H40" s="14">
        <f t="shared" si="27"/>
        <v>212</v>
      </c>
      <c r="I40" s="352">
        <f>IF(Z40="","",Z40)</f>
        <v>1</v>
      </c>
      <c r="J40" s="14">
        <f t="shared" si="28"/>
        <v>195</v>
      </c>
      <c r="K40" s="352">
        <f>IF(AB40="","",AB40)</f>
        <v>1</v>
      </c>
      <c r="L40" s="14">
        <f t="shared" si="29"/>
        <v>217</v>
      </c>
      <c r="M40" s="352">
        <f>IF(AD40="","",AD40)</f>
        <v>1</v>
      </c>
      <c r="N40" s="14">
        <f t="shared" si="30"/>
        <v>1073</v>
      </c>
      <c r="O40" s="352">
        <f>IF(AF40="","",AF40)</f>
        <v>5</v>
      </c>
      <c r="R40" s="355" t="s">
        <v>2</v>
      </c>
      <c r="S40" s="68" t="str">
        <f>IF(T40=0,"",VLOOKUP(T40,Starter!$A$1:$D$196,2,FALSE))</f>
        <v>Inkermann, Matthias</v>
      </c>
      <c r="T40" s="178">
        <v>25760</v>
      </c>
      <c r="U40" s="186">
        <v>200</v>
      </c>
      <c r="V40" s="95">
        <f>IF(SUM(U40:U42)+U56=0,0,IF(ABS(SUM(U40:U42))=U56,0.5,IF(ABS(SUM(U40:U42))&gt;U56,1,0)))</f>
        <v>1</v>
      </c>
      <c r="W40" s="186">
        <v>249</v>
      </c>
      <c r="X40" s="95">
        <f>IF(SUM(W40:W42)+W56=0,0,IF(ABS(SUM(W40:W42))=W56,0.5,IF(ABS(SUM(W40:W42))&gt;W56,1,0)))</f>
        <v>1</v>
      </c>
      <c r="Y40" s="186">
        <v>212</v>
      </c>
      <c r="Z40" s="95">
        <f>IF(SUM(Y40:Y42)+Y56=0,0,IF(ABS(SUM(Y40:Y42))=Y56,0.5,IF(ABS(SUM(Y40:Y42))&gt;Y56,1,0)))</f>
        <v>1</v>
      </c>
      <c r="AA40" s="186">
        <v>195</v>
      </c>
      <c r="AB40" s="95">
        <f>IF(SUM(AA40:AA42)+AA56=0,0,IF(ABS(SUM(AA40:AA42))=AA56,0.5,IF(ABS(SUM(AA40:AA42))&gt;AA56,1,0)))</f>
        <v>1</v>
      </c>
      <c r="AC40" s="186">
        <v>217</v>
      </c>
      <c r="AD40" s="95">
        <f>IF(SUM(AC40:AC42)+AC56=0,0,IF(ABS(SUM(AC40:AC42))=AC56,0.5,IF(ABS(SUM(AC40:AC42))&gt;AC56,1,0)))</f>
        <v>1</v>
      </c>
      <c r="AE40" s="195">
        <f t="shared" si="31"/>
        <v>1073</v>
      </c>
      <c r="AF40" s="180">
        <f>SUM(V40+X40+Z40+AB40+AD40)</f>
        <v>5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25760</v>
      </c>
      <c r="BE40" s="213">
        <f t="shared" si="33"/>
        <v>1073</v>
      </c>
      <c r="BF40" s="215">
        <f t="shared" si="34"/>
        <v>5</v>
      </c>
      <c r="BG40" s="215">
        <f t="shared" si="35"/>
        <v>5</v>
      </c>
      <c r="BH40" s="215">
        <f t="shared" si="36"/>
        <v>200</v>
      </c>
      <c r="BI40" s="215">
        <f t="shared" si="37"/>
        <v>249</v>
      </c>
      <c r="BJ40" s="215">
        <f t="shared" si="38"/>
        <v>212</v>
      </c>
      <c r="BK40" s="215">
        <f t="shared" si="39"/>
        <v>195</v>
      </c>
      <c r="BL40" s="215">
        <f t="shared" si="40"/>
        <v>217</v>
      </c>
      <c r="BM40" s="216"/>
      <c r="BN40" s="214"/>
      <c r="BO40" s="215">
        <f t="shared" si="41"/>
        <v>249</v>
      </c>
      <c r="BP40" s="215">
        <f t="shared" si="42"/>
        <v>0</v>
      </c>
      <c r="BQ40" s="215" t="str">
        <f t="shared" si="48"/>
        <v>Herzogenaurach 1</v>
      </c>
      <c r="BR40" s="214">
        <f t="shared" si="43"/>
        <v>2</v>
      </c>
      <c r="BS40" s="215">
        <f t="shared" si="44"/>
        <v>1073</v>
      </c>
      <c r="BT40" s="215">
        <f>IF(COUNTIF(BH40:BL40,"&gt;0")&lt;Spielorte!$A$23,0,BE40/Spielorte!$A$23)</f>
        <v>214.6</v>
      </c>
      <c r="BU40" s="215">
        <f t="shared" si="45"/>
        <v>214.60000004</v>
      </c>
      <c r="BV40" s="214">
        <f t="shared" si="46"/>
        <v>1</v>
      </c>
    </row>
    <row r="41" spans="1:74" ht="17.100000000000001" customHeight="1" x14ac:dyDescent="0.2">
      <c r="A41" s="374"/>
      <c r="B41" s="19" t="str">
        <f t="shared" si="47"/>
        <v/>
      </c>
      <c r="C41" s="20" t="str">
        <f t="shared" si="47"/>
        <v/>
      </c>
      <c r="D41" s="15" t="str">
        <f t="shared" si="47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 t="str">
        <f t="shared" si="28"/>
        <v/>
      </c>
      <c r="K41" s="353"/>
      <c r="L41" s="15" t="str">
        <f t="shared" si="29"/>
        <v/>
      </c>
      <c r="M41" s="353"/>
      <c r="N41" s="15" t="str">
        <f t="shared" si="30"/>
        <v/>
      </c>
      <c r="O41" s="353"/>
      <c r="R41" s="356"/>
      <c r="S41" s="68" t="str">
        <f>IF(T41=0,"",VLOOKUP(T41,Starter!$A$1:$D$196,2,FALSE))</f>
        <v/>
      </c>
      <c r="T41" s="176"/>
      <c r="U41" s="184"/>
      <c r="V41" s="96"/>
      <c r="W41" s="184"/>
      <c r="X41" s="96"/>
      <c r="Y41" s="184"/>
      <c r="Z41" s="96"/>
      <c r="AA41" s="184"/>
      <c r="AB41" s="96"/>
      <c r="AC41" s="184"/>
      <c r="AD41" s="96"/>
      <c r="AE41" s="196">
        <f t="shared" si="31"/>
        <v>0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0</v>
      </c>
      <c r="BE41" s="213">
        <f t="shared" si="33"/>
        <v>0</v>
      </c>
      <c r="BF41" s="215">
        <f t="shared" si="34"/>
        <v>0</v>
      </c>
      <c r="BG41" s="215">
        <f t="shared" si="35"/>
        <v>0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 t="str">
        <f t="shared" si="39"/>
        <v/>
      </c>
      <c r="BL41" s="215" t="str">
        <f t="shared" si="40"/>
        <v/>
      </c>
      <c r="BM41" s="216"/>
      <c r="BN41" s="214"/>
      <c r="BO41" s="215">
        <f t="shared" si="41"/>
        <v>0</v>
      </c>
      <c r="BP41" s="215">
        <f t="shared" si="42"/>
        <v>0</v>
      </c>
      <c r="BQ41" s="215" t="str">
        <f t="shared" si="48"/>
        <v>Herzogenaurach 1</v>
      </c>
      <c r="BR41" s="214">
        <f t="shared" si="43"/>
        <v>2</v>
      </c>
      <c r="BS41" s="215">
        <f t="shared" si="44"/>
        <v>0</v>
      </c>
      <c r="BT41" s="215">
        <f>IF(COUNTIF(BH41:BL41,"&gt;0")&lt;Spielorte!$A$23,0,BE41/Spielorte!$A$23)</f>
        <v>0</v>
      </c>
      <c r="BU41" s="215">
        <f t="shared" si="45"/>
        <v>0</v>
      </c>
      <c r="BV41" s="214">
        <f t="shared" si="46"/>
        <v>0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7"/>
        <v/>
      </c>
      <c r="D42" s="9" t="str">
        <f t="shared" si="47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0</v>
      </c>
      <c r="BQ42" s="215" t="str">
        <f t="shared" si="48"/>
        <v>Herzogenaurach 1</v>
      </c>
      <c r="BR42" s="214">
        <f t="shared" si="43"/>
        <v>2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0</v>
      </c>
      <c r="BV42" s="214">
        <f t="shared" si="46"/>
        <v>0</v>
      </c>
    </row>
    <row r="43" spans="1:74" ht="17.100000000000001" customHeight="1" x14ac:dyDescent="0.2">
      <c r="A43" s="373" t="s">
        <v>3</v>
      </c>
      <c r="B43" s="17" t="str">
        <f t="shared" si="47"/>
        <v>Meier, Peter</v>
      </c>
      <c r="C43" s="18">
        <f t="shared" si="47"/>
        <v>7286</v>
      </c>
      <c r="D43" s="14">
        <f t="shared" si="47"/>
        <v>160</v>
      </c>
      <c r="E43" s="352">
        <f>IF(V43="","",V43)</f>
        <v>0</v>
      </c>
      <c r="F43" s="14">
        <f t="shared" si="26"/>
        <v>190</v>
      </c>
      <c r="G43" s="352">
        <f>IF(X43="","",X43)</f>
        <v>0</v>
      </c>
      <c r="H43" s="14">
        <f t="shared" si="27"/>
        <v>178</v>
      </c>
      <c r="I43" s="352">
        <f>IF(Z43="","",Z43)</f>
        <v>0</v>
      </c>
      <c r="J43" s="14">
        <f t="shared" si="28"/>
        <v>212</v>
      </c>
      <c r="K43" s="352">
        <f>IF(AB43="","",AB43)</f>
        <v>1</v>
      </c>
      <c r="L43" s="14">
        <f t="shared" si="29"/>
        <v>150</v>
      </c>
      <c r="M43" s="352">
        <f>IF(AD43="","",AD43)</f>
        <v>0</v>
      </c>
      <c r="N43" s="14">
        <f t="shared" si="30"/>
        <v>890</v>
      </c>
      <c r="O43" s="352">
        <f>IF(AF43="","",AF43)</f>
        <v>1</v>
      </c>
      <c r="R43" s="355" t="s">
        <v>3</v>
      </c>
      <c r="S43" s="68" t="str">
        <f>IF(T43=0,"",VLOOKUP(T43,Starter!$A$1:$D$196,2,FALSE))</f>
        <v>Meier, Peter</v>
      </c>
      <c r="T43" s="178">
        <v>7286</v>
      </c>
      <c r="U43" s="186">
        <v>160</v>
      </c>
      <c r="V43" s="95">
        <f>IF(SUM(U43:U45)+U57=0,0,IF(ABS(SUM(U43:U45))=U57,0.5,IF(ABS(SUM(U43:U45))&gt;U57,1,0)))</f>
        <v>0</v>
      </c>
      <c r="W43" s="186">
        <v>190</v>
      </c>
      <c r="X43" s="95">
        <f>IF(SUM(W43:W45)+W57=0,0,IF(ABS(SUM(W43:W45))=W57,0.5,IF(ABS(SUM(W43:W45))&gt;W57,1,0)))</f>
        <v>0</v>
      </c>
      <c r="Y43" s="186">
        <v>178</v>
      </c>
      <c r="Z43" s="95">
        <f>IF(SUM(Y43:Y45)+Y57=0,0,IF(ABS(SUM(Y43:Y45))=Y57,0.5,IF(ABS(SUM(Y43:Y45))&gt;Y57,1,0)))</f>
        <v>0</v>
      </c>
      <c r="AA43" s="186">
        <v>212</v>
      </c>
      <c r="AB43" s="95">
        <f>IF(SUM(AA43:AA45)+AA57=0,0,IF(ABS(SUM(AA43:AA45))=AA57,0.5,IF(ABS(SUM(AA43:AA45))&gt;AA57,1,0)))</f>
        <v>1</v>
      </c>
      <c r="AC43" s="186">
        <v>150</v>
      </c>
      <c r="AD43" s="95">
        <f>IF(SUM(AC43:AC45)+AC57=0,0,IF(ABS(SUM(AC43:AC45))=AC57,0.5,IF(ABS(SUM(AC43:AC45))&gt;AC57,1,0)))</f>
        <v>0</v>
      </c>
      <c r="AE43" s="195">
        <f t="shared" si="31"/>
        <v>890</v>
      </c>
      <c r="AF43" s="180">
        <f>SUM(V43+X43+Z43+AB43+AD43)</f>
        <v>1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7286</v>
      </c>
      <c r="BE43" s="213">
        <f t="shared" si="33"/>
        <v>890</v>
      </c>
      <c r="BF43" s="215">
        <f t="shared" si="34"/>
        <v>5</v>
      </c>
      <c r="BG43" s="215">
        <f t="shared" si="35"/>
        <v>5</v>
      </c>
      <c r="BH43" s="215">
        <f t="shared" si="36"/>
        <v>160</v>
      </c>
      <c r="BI43" s="215">
        <f t="shared" si="37"/>
        <v>190</v>
      </c>
      <c r="BJ43" s="215">
        <f t="shared" si="38"/>
        <v>178</v>
      </c>
      <c r="BK43" s="215">
        <f t="shared" si="39"/>
        <v>212</v>
      </c>
      <c r="BL43" s="215">
        <f t="shared" si="40"/>
        <v>150</v>
      </c>
      <c r="BM43" s="216"/>
      <c r="BN43" s="214"/>
      <c r="BO43" s="215">
        <f t="shared" si="41"/>
        <v>212</v>
      </c>
      <c r="BP43" s="215">
        <f t="shared" si="42"/>
        <v>0</v>
      </c>
      <c r="BQ43" s="215" t="str">
        <f t="shared" si="48"/>
        <v>Herzogenaurach 1</v>
      </c>
      <c r="BR43" s="214">
        <f t="shared" si="43"/>
        <v>2</v>
      </c>
      <c r="BS43" s="215">
        <f t="shared" si="44"/>
        <v>890</v>
      </c>
      <c r="BT43" s="215">
        <f>IF(COUNTIF(BH43:BL43,"&gt;0")&lt;Spielorte!$A$23,0,BE43/Spielorte!$A$23)</f>
        <v>178</v>
      </c>
      <c r="BU43" s="215">
        <f t="shared" si="45"/>
        <v>0</v>
      </c>
      <c r="BV43" s="214">
        <f t="shared" si="46"/>
        <v>0</v>
      </c>
    </row>
    <row r="44" spans="1:74" ht="17.100000000000001" customHeight="1" x14ac:dyDescent="0.2">
      <c r="A44" s="374"/>
      <c r="B44" s="19" t="str">
        <f t="shared" si="47"/>
        <v/>
      </c>
      <c r="C44" s="20" t="str">
        <f t="shared" si="47"/>
        <v/>
      </c>
      <c r="D44" s="15" t="str">
        <f t="shared" si="47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 t="str">
        <f t="shared" si="28"/>
        <v/>
      </c>
      <c r="K44" s="353"/>
      <c r="L44" s="15" t="str">
        <f t="shared" si="29"/>
        <v/>
      </c>
      <c r="M44" s="353"/>
      <c r="N44" s="15" t="str">
        <f t="shared" si="30"/>
        <v/>
      </c>
      <c r="O44" s="353"/>
      <c r="R44" s="356"/>
      <c r="S44" s="68" t="str">
        <f>IF(T44=0,"",VLOOKUP(T44,Starter!$A$1:$D$196,2,FALSE))</f>
        <v/>
      </c>
      <c r="T44" s="176"/>
      <c r="U44" s="184"/>
      <c r="V44" s="96"/>
      <c r="W44" s="184"/>
      <c r="X44" s="96"/>
      <c r="Y44" s="184"/>
      <c r="Z44" s="96"/>
      <c r="AA44" s="184"/>
      <c r="AB44" s="96"/>
      <c r="AC44" s="184"/>
      <c r="AD44" s="96"/>
      <c r="AE44" s="196">
        <f t="shared" si="31"/>
        <v>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0</v>
      </c>
      <c r="BE44" s="213">
        <f t="shared" si="33"/>
        <v>0</v>
      </c>
      <c r="BF44" s="215">
        <f t="shared" si="34"/>
        <v>0</v>
      </c>
      <c r="BG44" s="215">
        <f t="shared" si="35"/>
        <v>0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 t="str">
        <f t="shared" si="39"/>
        <v/>
      </c>
      <c r="BL44" s="215" t="str">
        <f t="shared" si="40"/>
        <v/>
      </c>
      <c r="BM44" s="216"/>
      <c r="BN44" s="214"/>
      <c r="BO44" s="215">
        <f t="shared" si="41"/>
        <v>0</v>
      </c>
      <c r="BP44" s="215">
        <f t="shared" si="42"/>
        <v>0</v>
      </c>
      <c r="BQ44" s="215" t="str">
        <f t="shared" si="48"/>
        <v>Herzogenaurach 1</v>
      </c>
      <c r="BR44" s="214">
        <f t="shared" si="43"/>
        <v>2</v>
      </c>
      <c r="BS44" s="215">
        <f t="shared" si="44"/>
        <v>0</v>
      </c>
      <c r="BT44" s="215">
        <f>IF(COUNTIF(BH44:BL44,"&gt;0")&lt;Spielorte!$A$23,0,BE44/Spielorte!$A$23)</f>
        <v>0</v>
      </c>
      <c r="BU44" s="215">
        <f t="shared" si="45"/>
        <v>0</v>
      </c>
      <c r="BV44" s="214">
        <f t="shared" si="46"/>
        <v>0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7"/>
        <v/>
      </c>
      <c r="D45" s="9" t="str">
        <f t="shared" si="47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0</v>
      </c>
      <c r="BQ45" s="215" t="str">
        <f t="shared" si="48"/>
        <v>Herzogenaurach 1</v>
      </c>
      <c r="BR45" s="214">
        <f t="shared" si="43"/>
        <v>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0</v>
      </c>
      <c r="BV45" s="214">
        <f t="shared" si="46"/>
        <v>0</v>
      </c>
    </row>
    <row r="46" spans="1:74" ht="17.100000000000001" customHeight="1" x14ac:dyDescent="0.2">
      <c r="A46" s="373" t="s">
        <v>11</v>
      </c>
      <c r="B46" s="17" t="str">
        <f>IF(S46=0,"",S46)</f>
        <v>Pichl, Jürgen</v>
      </c>
      <c r="C46" s="18">
        <f t="shared" si="47"/>
        <v>7283</v>
      </c>
      <c r="D46" s="14">
        <f t="shared" si="47"/>
        <v>176</v>
      </c>
      <c r="E46" s="352">
        <f>IF(V46="","",V46)</f>
        <v>0</v>
      </c>
      <c r="F46" s="14">
        <f t="shared" si="26"/>
        <v>211</v>
      </c>
      <c r="G46" s="352">
        <f>IF(X46="","",X46)</f>
        <v>1</v>
      </c>
      <c r="H46" s="14">
        <f t="shared" si="27"/>
        <v>191</v>
      </c>
      <c r="I46" s="352">
        <f>IF(Z46="","",Z46)</f>
        <v>1</v>
      </c>
      <c r="J46" s="14">
        <f t="shared" si="28"/>
        <v>152</v>
      </c>
      <c r="K46" s="352">
        <f>IF(AB46="","",AB46)</f>
        <v>0</v>
      </c>
      <c r="L46" s="14">
        <f t="shared" si="29"/>
        <v>150</v>
      </c>
      <c r="M46" s="352">
        <f>IF(AD46="","",AD46)</f>
        <v>0</v>
      </c>
      <c r="N46" s="14">
        <f t="shared" si="30"/>
        <v>880</v>
      </c>
      <c r="O46" s="352">
        <f>IF(AF46="","",AF46)</f>
        <v>2</v>
      </c>
      <c r="R46" s="355" t="s">
        <v>11</v>
      </c>
      <c r="S46" s="68" t="str">
        <f>IF(T46=0,"",VLOOKUP(T46,Starter!$A$1:$D$196,2,FALSE))</f>
        <v>Pichl, Jürgen</v>
      </c>
      <c r="T46" s="178">
        <v>7283</v>
      </c>
      <c r="U46" s="186">
        <v>176</v>
      </c>
      <c r="V46" s="95">
        <f>IF(SUM(U46:U48)+U58=0,0,IF(ABS(SUM(U46:U48))=U58,0.5,IF(ABS(SUM(U46:U48))&gt;U58,1,0)))</f>
        <v>0</v>
      </c>
      <c r="W46" s="186">
        <v>211</v>
      </c>
      <c r="X46" s="95">
        <f>IF(SUM(W46:W48)+W58=0,0,IF(ABS(SUM(W46:W48))=W58,0.5,IF(ABS(SUM(W46:W48))&gt;W58,1,0)))</f>
        <v>1</v>
      </c>
      <c r="Y46" s="186">
        <v>191</v>
      </c>
      <c r="Z46" s="95">
        <f>IF(SUM(Y46:Y48)+Y58=0,0,IF(ABS(SUM(Y46:Y48))=Y58,0.5,IF(ABS(SUM(Y46:Y48))&gt;Y58,1,0)))</f>
        <v>1</v>
      </c>
      <c r="AA46" s="186">
        <v>152</v>
      </c>
      <c r="AB46" s="95">
        <f>IF(SUM(AA46:AA48)+AA58=0,0,IF(ABS(SUM(AA46:AA48))=AA58,0.5,IF(ABS(SUM(AA46:AA48))&gt;AA58,1,0)))</f>
        <v>0</v>
      </c>
      <c r="AC46" s="186">
        <v>150</v>
      </c>
      <c r="AD46" s="95">
        <f>IF(SUM(AC46:AC48)+AC58=0,0,IF(ABS(SUM(AC46:AC48))=AC58,0.5,IF(ABS(SUM(AC46:AC48))&gt;AC58,1,0)))</f>
        <v>0</v>
      </c>
      <c r="AE46" s="195">
        <f t="shared" si="31"/>
        <v>880</v>
      </c>
      <c r="AF46" s="180">
        <f>SUM(V46+X46+Z46+AB46+AD46)</f>
        <v>2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7283</v>
      </c>
      <c r="BE46" s="213">
        <f t="shared" si="33"/>
        <v>880</v>
      </c>
      <c r="BF46" s="215">
        <f t="shared" si="34"/>
        <v>5</v>
      </c>
      <c r="BG46" s="215">
        <f t="shared" si="35"/>
        <v>5</v>
      </c>
      <c r="BH46" s="215">
        <f t="shared" si="36"/>
        <v>176</v>
      </c>
      <c r="BI46" s="215">
        <f t="shared" si="37"/>
        <v>211</v>
      </c>
      <c r="BJ46" s="215">
        <f t="shared" si="38"/>
        <v>191</v>
      </c>
      <c r="BK46" s="215">
        <f t="shared" si="39"/>
        <v>152</v>
      </c>
      <c r="BL46" s="215">
        <f t="shared" si="40"/>
        <v>150</v>
      </c>
      <c r="BM46" s="216"/>
      <c r="BN46" s="214"/>
      <c r="BO46" s="215">
        <f t="shared" si="41"/>
        <v>211</v>
      </c>
      <c r="BP46" s="215">
        <f t="shared" si="42"/>
        <v>0</v>
      </c>
      <c r="BQ46" s="215" t="str">
        <f t="shared" si="48"/>
        <v>Herzogenaurach 1</v>
      </c>
      <c r="BR46" s="214">
        <f t="shared" si="43"/>
        <v>2</v>
      </c>
      <c r="BS46" s="215">
        <f t="shared" si="44"/>
        <v>880</v>
      </c>
      <c r="BT46" s="215">
        <f>IF(COUNTIF(BH46:BL46,"&gt;0")&lt;Spielorte!$A$23,0,BE46/Spielorte!$A$23)</f>
        <v>176</v>
      </c>
      <c r="BU46" s="215">
        <f t="shared" si="45"/>
        <v>0</v>
      </c>
      <c r="BV46" s="214">
        <f t="shared" si="46"/>
        <v>0</v>
      </c>
    </row>
    <row r="47" spans="1:74" ht="17.100000000000001" customHeight="1" x14ac:dyDescent="0.2">
      <c r="A47" s="374"/>
      <c r="B47" s="19" t="str">
        <f>IF(S47=0,"",S47)</f>
        <v/>
      </c>
      <c r="C47" s="20" t="str">
        <f t="shared" si="47"/>
        <v/>
      </c>
      <c r="D47" s="15" t="str">
        <f t="shared" si="47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 t="str">
        <f t="shared" si="28"/>
        <v/>
      </c>
      <c r="K47" s="353"/>
      <c r="L47" s="15" t="str">
        <f t="shared" si="29"/>
        <v/>
      </c>
      <c r="M47" s="353"/>
      <c r="N47" s="15" t="str">
        <f t="shared" si="30"/>
        <v/>
      </c>
      <c r="O47" s="353"/>
      <c r="R47" s="356"/>
      <c r="S47" s="68" t="str">
        <f>IF(T47=0,"",VLOOKUP(T47,Starter!$A$1:$D$196,2,FALSE))</f>
        <v/>
      </c>
      <c r="T47" s="176"/>
      <c r="U47" s="184"/>
      <c r="V47" s="96"/>
      <c r="W47" s="184"/>
      <c r="X47" s="96"/>
      <c r="Y47" s="184"/>
      <c r="Z47" s="96"/>
      <c r="AA47" s="184"/>
      <c r="AB47" s="96"/>
      <c r="AC47" s="184"/>
      <c r="AD47" s="96"/>
      <c r="AE47" s="196">
        <f t="shared" si="31"/>
        <v>0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0</v>
      </c>
      <c r="BE47" s="213">
        <f t="shared" si="33"/>
        <v>0</v>
      </c>
      <c r="BF47" s="215">
        <f t="shared" si="34"/>
        <v>0</v>
      </c>
      <c r="BG47" s="215">
        <f t="shared" si="35"/>
        <v>0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 t="str">
        <f t="shared" si="39"/>
        <v/>
      </c>
      <c r="BL47" s="215" t="str">
        <f t="shared" si="40"/>
        <v/>
      </c>
      <c r="BM47" s="216"/>
      <c r="BN47" s="214"/>
      <c r="BO47" s="215">
        <f t="shared" si="41"/>
        <v>0</v>
      </c>
      <c r="BP47" s="215">
        <f t="shared" si="42"/>
        <v>0</v>
      </c>
      <c r="BQ47" s="215" t="str">
        <f t="shared" si="48"/>
        <v>Herzogenaurach 1</v>
      </c>
      <c r="BR47" s="214">
        <f t="shared" si="43"/>
        <v>2</v>
      </c>
      <c r="BS47" s="215">
        <f t="shared" si="44"/>
        <v>0</v>
      </c>
      <c r="BT47" s="215">
        <f>IF(COUNTIF(BH47:BL47,"&gt;0")&lt;Spielorte!$A$23,0,BE47/Spielorte!$A$23)</f>
        <v>0</v>
      </c>
      <c r="BU47" s="215">
        <f t="shared" si="45"/>
        <v>0</v>
      </c>
      <c r="BV47" s="214">
        <f t="shared" si="46"/>
        <v>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7"/>
        <v/>
      </c>
      <c r="D48" s="9" t="str">
        <f t="shared" si="47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0</v>
      </c>
      <c r="BQ48" s="215" t="str">
        <f t="shared" si="48"/>
        <v>Herzogenaurach 1</v>
      </c>
      <c r="BR48" s="214">
        <f t="shared" si="43"/>
        <v>2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0</v>
      </c>
      <c r="BV48" s="214">
        <f t="shared" si="46"/>
        <v>0</v>
      </c>
    </row>
    <row r="49" spans="1:74" ht="27.75" customHeight="1" thickBot="1" x14ac:dyDescent="0.25">
      <c r="B49" s="11" t="str">
        <f>IF(S49=0,"",S49)</f>
        <v>Gesamt</v>
      </c>
      <c r="C49" s="26" t="str">
        <f t="shared" si="47"/>
        <v/>
      </c>
      <c r="D49" s="16">
        <f t="shared" si="47"/>
        <v>718</v>
      </c>
      <c r="E49" s="12">
        <f>IF(V49="","",V49)</f>
        <v>0</v>
      </c>
      <c r="F49" s="16">
        <f t="shared" si="26"/>
        <v>812</v>
      </c>
      <c r="G49" s="12">
        <f>IF(X49="","",X49)</f>
        <v>2</v>
      </c>
      <c r="H49" s="16">
        <f t="shared" si="27"/>
        <v>744</v>
      </c>
      <c r="I49" s="12">
        <f>IF(Z49="","",Z49)</f>
        <v>0</v>
      </c>
      <c r="J49" s="16">
        <f t="shared" si="28"/>
        <v>719</v>
      </c>
      <c r="K49" s="12">
        <f>IF(AB49="","",AB49)</f>
        <v>2</v>
      </c>
      <c r="L49" s="16">
        <f t="shared" si="29"/>
        <v>692</v>
      </c>
      <c r="M49" s="12">
        <f>IF(AD49="","",AD49)</f>
        <v>2</v>
      </c>
      <c r="N49" s="16">
        <f t="shared" si="30"/>
        <v>3685</v>
      </c>
      <c r="O49" s="12">
        <f>IF(AF49="","",AF49)</f>
        <v>6</v>
      </c>
      <c r="S49" s="11" t="s">
        <v>1791</v>
      </c>
      <c r="T49" s="71"/>
      <c r="U49" s="188">
        <f>ABS(SUM(U37:U39))+ABS(SUM(U40:U42))+ABS(SUM(U43:U45))+ABS(SUM(U46:U48))</f>
        <v>718</v>
      </c>
      <c r="V49" s="98">
        <f>IF(U49+U59=0,0,IF(U49=U59,1,IF(U49&gt;U59,2,0)))</f>
        <v>0</v>
      </c>
      <c r="W49" s="188">
        <f>ABS(SUM(W37:W39))+ABS(SUM(W40:W42))+ABS(SUM(W43:W45))+ABS(SUM(W46:W48))</f>
        <v>812</v>
      </c>
      <c r="X49" s="98">
        <f>IF(W49+W59=0,0,IF(W49=W59,1,IF(W49&gt;W59,2,0)))</f>
        <v>2</v>
      </c>
      <c r="Y49" s="188">
        <f>ABS(SUM(Y37:Y39))+ABS(SUM(Y40:Y42))+ABS(SUM(Y43:Y45))+ABS(SUM(Y46:Y48))</f>
        <v>744</v>
      </c>
      <c r="Z49" s="98">
        <f>IF(Y49+Y59=0,0,IF(Y49=Y59,1,IF(Y49&gt;Y59,2,0)))</f>
        <v>0</v>
      </c>
      <c r="AA49" s="188">
        <f>ABS(SUM(AA37:AA39))+ABS(SUM(AA40:AA42))+ABS(SUM(AA43:AA45))+ABS(SUM(AA46:AA48))</f>
        <v>719</v>
      </c>
      <c r="AB49" s="98">
        <f>IF(AA49+AA59=0,0,IF(AA49=AA59,1,IF(AA49&gt;AA59,2,0)))</f>
        <v>2</v>
      </c>
      <c r="AC49" s="188">
        <f>ABS(SUM(AC37:AC39))+ABS(SUM(AC40:AC42))+ABS(SUM(AC43:AC45))+ABS(SUM(AC46:AC48))</f>
        <v>692</v>
      </c>
      <c r="AD49" s="98">
        <f>IF(AC49+AC59=0,0,IF(AC49=AC59,1,IF(AC49&gt;AC59,2,0)))</f>
        <v>2</v>
      </c>
      <c r="AE49" s="198">
        <f>SUM(U49+W49+Y49+AA49+AC49)</f>
        <v>3685</v>
      </c>
      <c r="AF49" s="12">
        <f>SUM(V49+X49+Z49+AB49+AD49)</f>
        <v>6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7"/>
        <v/>
      </c>
      <c r="D50" s="1" t="str">
        <f t="shared" si="47"/>
        <v/>
      </c>
      <c r="E50" s="23">
        <f>IF(V50="","",V50)</f>
        <v>1</v>
      </c>
      <c r="F50" s="1" t="str">
        <f t="shared" si="26"/>
        <v/>
      </c>
      <c r="G50" s="23">
        <f>IF(X50="","",X50)</f>
        <v>5</v>
      </c>
      <c r="H50" s="1" t="str">
        <f t="shared" si="27"/>
        <v/>
      </c>
      <c r="I50" s="23">
        <f>IF(Z50="","",Z50)</f>
        <v>2</v>
      </c>
      <c r="J50" s="1" t="str">
        <f t="shared" si="28"/>
        <v/>
      </c>
      <c r="K50" s="23">
        <f>IF(AB50="","",AB50)</f>
        <v>4</v>
      </c>
      <c r="L50" s="1" t="str">
        <f t="shared" si="29"/>
        <v/>
      </c>
      <c r="M50" s="23">
        <f>IF(AD50="","",AD50)</f>
        <v>3</v>
      </c>
      <c r="N50" s="1" t="str">
        <f t="shared" si="30"/>
        <v/>
      </c>
      <c r="O50" s="23">
        <f>IF(AF50="","",AF50)</f>
        <v>15</v>
      </c>
      <c r="S50" s="8" t="s">
        <v>1802</v>
      </c>
      <c r="T50" s="1"/>
      <c r="U50" s="1"/>
      <c r="V50" s="72">
        <f>SUM(V37:V49)</f>
        <v>1</v>
      </c>
      <c r="W50" s="1"/>
      <c r="X50" s="72">
        <f>SUM(X37:X49)</f>
        <v>5</v>
      </c>
      <c r="Y50" s="1"/>
      <c r="Z50" s="72">
        <f>SUM(Z37:Z49)</f>
        <v>2</v>
      </c>
      <c r="AA50" s="1"/>
      <c r="AB50" s="72">
        <f>SUM(AB37:AB49)</f>
        <v>4</v>
      </c>
      <c r="AC50" s="1"/>
      <c r="AD50" s="72">
        <f>SUM(AD37:AD49)</f>
        <v>3</v>
      </c>
      <c r="AE50" s="1"/>
      <c r="AF50" s="72">
        <f>SUM(AF37:AF49)</f>
        <v>15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15</v>
      </c>
      <c r="BB50" s="213">
        <f>AE49</f>
        <v>3685</v>
      </c>
      <c r="BC50" s="214">
        <f>+S32</f>
        <v>2</v>
      </c>
      <c r="BF50" s="215">
        <f>SUM(BF31:BF49)</f>
        <v>20</v>
      </c>
      <c r="BM50" s="212">
        <f>+BB50/1000000+BA50</f>
        <v>15.003685000000001</v>
      </c>
      <c r="BN50" s="214">
        <f>RANK(BM50,BM:BM)</f>
        <v>4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K54" si="49">IF(S52=0,"",S52)</f>
        <v>Gegner-Nr.:</v>
      </c>
      <c r="C52" s="5" t="str">
        <f t="shared" si="49"/>
        <v>&gt;&gt;&gt;&gt;</v>
      </c>
      <c r="D52" s="350">
        <f t="shared" si="49"/>
        <v>5</v>
      </c>
      <c r="E52" s="350" t="str">
        <f t="shared" si="49"/>
        <v/>
      </c>
      <c r="F52" s="350">
        <f t="shared" si="49"/>
        <v>4</v>
      </c>
      <c r="G52" s="350" t="str">
        <f t="shared" si="49"/>
        <v/>
      </c>
      <c r="H52" s="350">
        <f t="shared" si="49"/>
        <v>6</v>
      </c>
      <c r="I52" s="350" t="str">
        <f t="shared" si="49"/>
        <v/>
      </c>
      <c r="J52" s="350">
        <f t="shared" si="49"/>
        <v>1</v>
      </c>
      <c r="K52" s="350" t="str">
        <f t="shared" si="49"/>
        <v/>
      </c>
      <c r="L52" s="350">
        <f t="shared" ref="L52:M54" si="50">IF(AC52=0,"",AC52)</f>
        <v>3</v>
      </c>
      <c r="M52" s="350" t="str">
        <f t="shared" si="50"/>
        <v/>
      </c>
      <c r="N52" s="351"/>
      <c r="O52" s="351"/>
      <c r="S52" s="13" t="s">
        <v>1789</v>
      </c>
      <c r="T52" s="5" t="s">
        <v>1790</v>
      </c>
      <c r="U52" s="369">
        <f>VLOOKUP($S32,Schlüssel!$A$5:$DG$10,63)</f>
        <v>5</v>
      </c>
      <c r="V52" s="370"/>
      <c r="W52" s="369">
        <f>VLOOKUP($S32,Schlüssel!$A$5:$EK$10,64)</f>
        <v>4</v>
      </c>
      <c r="X52" s="370"/>
      <c r="Y52" s="369">
        <f>VLOOKUP($S32,Schlüssel!$A$5:$EK$10,65)</f>
        <v>6</v>
      </c>
      <c r="Z52" s="370"/>
      <c r="AA52" s="369">
        <f>VLOOKUP($S32,Schlüssel!$A$5:$EK$10,66)</f>
        <v>1</v>
      </c>
      <c r="AB52" s="370"/>
      <c r="AC52" s="369">
        <f>VLOOKUP($S32,Schlüssel!$A$5:$EK$10,67)</f>
        <v>3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si="49"/>
        <v/>
      </c>
      <c r="C53" s="1" t="str">
        <f t="shared" si="49"/>
        <v/>
      </c>
      <c r="D53" s="347" t="str">
        <f t="shared" si="49"/>
        <v>Castra Regina Regensburg 2</v>
      </c>
      <c r="E53" s="348" t="str">
        <f t="shared" si="49"/>
        <v/>
      </c>
      <c r="F53" s="347" t="str">
        <f t="shared" si="49"/>
        <v>Kings Club Bayreuth Land 3</v>
      </c>
      <c r="G53" s="348" t="str">
        <f t="shared" si="49"/>
        <v/>
      </c>
      <c r="H53" s="347" t="str">
        <f t="shared" si="49"/>
        <v>Adler Nürnberg 1</v>
      </c>
      <c r="I53" s="348" t="str">
        <f t="shared" si="49"/>
        <v/>
      </c>
      <c r="J53" s="347" t="str">
        <f t="shared" si="49"/>
        <v>Castra Regina Regensburg 3</v>
      </c>
      <c r="K53" s="348" t="str">
        <f t="shared" si="49"/>
        <v/>
      </c>
      <c r="L53" s="347" t="str">
        <f t="shared" si="50"/>
        <v>Kings Club Bayreuth Land 2</v>
      </c>
      <c r="M53" s="348" t="str">
        <f t="shared" si="50"/>
        <v/>
      </c>
      <c r="N53" s="349"/>
      <c r="O53" s="349"/>
      <c r="S53" s="4"/>
      <c r="T53" s="1"/>
      <c r="U53" s="347" t="str">
        <f>VLOOKUP(U52,Schlüssel!$A$5:$K$10,2)</f>
        <v>Castra Regina Regensburg 2</v>
      </c>
      <c r="V53" s="348"/>
      <c r="W53" s="347" t="str">
        <f>VLOOKUP(W52,Schlüssel!$A$5:$K$10,2)</f>
        <v>Kings Club Bayreuth Land 3</v>
      </c>
      <c r="X53" s="348"/>
      <c r="Y53" s="347" t="str">
        <f>VLOOKUP(Y52,Schlüssel!$A$5:$K$10,2)</f>
        <v>Adler Nürnberg 1</v>
      </c>
      <c r="Z53" s="348"/>
      <c r="AA53" s="347" t="str">
        <f>VLOOKUP(AA52,Schlüssel!$A$5:$K$10,2)</f>
        <v>Castra Regina Regensburg 3</v>
      </c>
      <c r="AB53" s="348"/>
      <c r="AC53" s="347" t="str">
        <f>VLOOKUP(AC52,Schlüssel!$A$5:$K$10,2)</f>
        <v>Kings Club Bayreuth Land 2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49"/>
        <v/>
      </c>
      <c r="C54" s="1" t="str">
        <f t="shared" si="49"/>
        <v/>
      </c>
      <c r="D54" s="346" t="str">
        <f t="shared" si="49"/>
        <v/>
      </c>
      <c r="E54" s="346" t="str">
        <f t="shared" si="49"/>
        <v/>
      </c>
      <c r="F54" s="346" t="str">
        <f t="shared" si="49"/>
        <v/>
      </c>
      <c r="G54" s="346" t="str">
        <f t="shared" si="49"/>
        <v/>
      </c>
      <c r="H54" s="346" t="str">
        <f t="shared" si="49"/>
        <v/>
      </c>
      <c r="I54" s="346" t="str">
        <f t="shared" si="49"/>
        <v/>
      </c>
      <c r="J54" s="346" t="str">
        <f t="shared" si="49"/>
        <v/>
      </c>
      <c r="K54" s="346" t="str">
        <f t="shared" si="49"/>
        <v/>
      </c>
      <c r="L54" s="346" t="str">
        <f t="shared" si="50"/>
        <v/>
      </c>
      <c r="M54" s="346" t="str">
        <f t="shared" si="50"/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ref="B55:C59" si="51">IF(S55=0,"",S55)</f>
        <v>Spieler 1</v>
      </c>
      <c r="C55" s="372" t="str">
        <f t="shared" si="51"/>
        <v/>
      </c>
      <c r="D55" s="344">
        <f>IF(U55=301,"",U55)</f>
        <v>230</v>
      </c>
      <c r="E55" s="344" t="str">
        <f>IF(V55=0,"",V55)</f>
        <v/>
      </c>
      <c r="F55" s="344">
        <f>IF(W55=301,"",W55)</f>
        <v>115</v>
      </c>
      <c r="G55" s="344" t="str">
        <f>IF(X55=0,"",X55)</f>
        <v/>
      </c>
      <c r="H55" s="344">
        <f>IF(Y55=301,"",Y55)</f>
        <v>181</v>
      </c>
      <c r="I55" s="344" t="str">
        <f>IF(Z55=0,"",Z55)</f>
        <v/>
      </c>
      <c r="J55" s="344">
        <f>IF(AA55=301,"",AA55)</f>
        <v>164</v>
      </c>
      <c r="K55" s="344" t="str">
        <f>IF(AB55=0,"",AB55)</f>
        <v/>
      </c>
      <c r="L55" s="344">
        <f>IF(AC55=301,"",AC55)</f>
        <v>211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230</v>
      </c>
      <c r="V55" s="368"/>
      <c r="W55" s="367">
        <f>ABS(INDEX(W:W,MATCH(W52,$S:$S,0)+5)+INDEX(W:W,MATCH(W52,$S:$S,0)+6)+INDEX(W:W,MATCH(W52,$S:$S,0)+7))</f>
        <v>115</v>
      </c>
      <c r="X55" s="368"/>
      <c r="Y55" s="367">
        <f>ABS(INDEX(Y:Y,MATCH(Y52,$S:$S,0)+5)+INDEX(Y:Y,MATCH(Y52,$S:$S,0)+6)+INDEX(Y:Y,MATCH(Y52,$S:$S,0)+7))</f>
        <v>181</v>
      </c>
      <c r="Z55" s="368"/>
      <c r="AA55" s="367">
        <f>ABS(INDEX(AA:AA,MATCH(AA52,$S:$S,0)+5)+INDEX(AA:AA,MATCH(AA52,$S:$S,0)+6)+INDEX(AA:AA,MATCH(AA52,$S:$S,0)+7))</f>
        <v>164</v>
      </c>
      <c r="AB55" s="368"/>
      <c r="AC55" s="367">
        <f>ABS(INDEX(AC:AC,MATCH(AC52,$S:$S,0)+5)+INDEX(AC:AC,MATCH(AC52,$S:$S,0)+6)+INDEX(AC:AC,MATCH(AC52,$S:$S,0)+7))</f>
        <v>211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1"/>
        <v/>
      </c>
      <c r="D56" s="344">
        <f>IF(U56=301,"",U56)</f>
        <v>143</v>
      </c>
      <c r="E56" s="344" t="str">
        <f>IF(V56=0,"",V56)</f>
        <v/>
      </c>
      <c r="F56" s="344">
        <f>IF(W56=301,"",W56)</f>
        <v>175</v>
      </c>
      <c r="G56" s="344" t="str">
        <f>IF(X56=0,"",X56)</f>
        <v/>
      </c>
      <c r="H56" s="344">
        <f>IF(Y56=301,"",Y56)</f>
        <v>189</v>
      </c>
      <c r="I56" s="344" t="str">
        <f>IF(Z56=0,"",Z56)</f>
        <v/>
      </c>
      <c r="J56" s="344">
        <f>IF(AA56=301,"",AA56)</f>
        <v>129</v>
      </c>
      <c r="K56" s="344" t="str">
        <f>IF(AB56=0,"",AB56)</f>
        <v/>
      </c>
      <c r="L56" s="344">
        <f>IF(AC56=301,"",AC56)</f>
        <v>122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143</v>
      </c>
      <c r="V56" s="366"/>
      <c r="W56" s="365">
        <f>ABS(INDEX(W:W,MATCH(W52,$S:$S,0)+8)+INDEX(W:W,MATCH(W52,$S:$S,0)+9)+INDEX(W:W,MATCH(W52,$S:$S,0)+10))</f>
        <v>175</v>
      </c>
      <c r="X56" s="366"/>
      <c r="Y56" s="365">
        <f>ABS(INDEX(Y:Y,MATCH(Y52,$S:$S,0)+8)+INDEX(Y:Y,MATCH(Y52,$S:$S,0)+9)+INDEX(Y:Y,MATCH(Y52,$S:$S,0)+10))</f>
        <v>189</v>
      </c>
      <c r="Z56" s="366"/>
      <c r="AA56" s="365">
        <f>ABS(INDEX(AA:AA,MATCH(AA52,$S:$S,0)+8)+INDEX(AA:AA,MATCH(AA52,$S:$S,0)+9)+INDEX(AA:AA,MATCH(AA52,$S:$S,0)+10))</f>
        <v>129</v>
      </c>
      <c r="AB56" s="366"/>
      <c r="AC56" s="365">
        <f>ABS(INDEX(AC:AC,MATCH(AC52,$S:$S,0)+8)+INDEX(AC:AC,MATCH(AC52,$S:$S,0)+9)+INDEX(AC:AC,MATCH(AC52,$S:$S,0)+10))</f>
        <v>122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1"/>
        <v/>
      </c>
      <c r="D57" s="344">
        <f>IF(U57=301,"",U57)</f>
        <v>176</v>
      </c>
      <c r="E57" s="344" t="str">
        <f>IF(V57=0,"",V57)</f>
        <v/>
      </c>
      <c r="F57" s="344">
        <f>IF(W57=301,"",W57)</f>
        <v>224</v>
      </c>
      <c r="G57" s="344" t="str">
        <f>IF(X57=0,"",X57)</f>
        <v/>
      </c>
      <c r="H57" s="344">
        <f>IF(Y57=301,"",Y57)</f>
        <v>211</v>
      </c>
      <c r="I57" s="344" t="str">
        <f>IF(Z57=0,"",Z57)</f>
        <v/>
      </c>
      <c r="J57" s="344">
        <f>IF(AA57=301,"",AA57)</f>
        <v>148</v>
      </c>
      <c r="K57" s="344" t="str">
        <f>IF(AB57=0,"",AB57)</f>
        <v/>
      </c>
      <c r="L57" s="344">
        <f>IF(AC57=301,"",AC57)</f>
        <v>165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176</v>
      </c>
      <c r="V57" s="366"/>
      <c r="W57" s="365">
        <f>ABS(INDEX(W:W,MATCH(W52,$S:$S,0)+11)+INDEX(W:W,MATCH(W52,$S:$S,0)+12)+INDEX(W:W,MATCH(W52,$S:$S,0)+13))</f>
        <v>224</v>
      </c>
      <c r="X57" s="366"/>
      <c r="Y57" s="365">
        <f>ABS(INDEX(Y:Y,MATCH(Y52,$S:$S,0)+11)+INDEX(Y:Y,MATCH(Y52,$S:$S,0)+12)+INDEX(Y:Y,MATCH(Y52,$S:$S,0)+13))</f>
        <v>211</v>
      </c>
      <c r="Z57" s="366"/>
      <c r="AA57" s="365">
        <f>ABS(INDEX(AA:AA,MATCH(AA52,$S:$S,0)+11)+INDEX(AA:AA,MATCH(AA52,$S:$S,0)+12)+INDEX(AA:AA,MATCH(AA52,$S:$S,0)+13))</f>
        <v>148</v>
      </c>
      <c r="AB57" s="366"/>
      <c r="AC57" s="365">
        <f>ABS(INDEX(AC:AC,MATCH(AC52,$S:$S,0)+11)+INDEX(AC:AC,MATCH(AC52,$S:$S,0)+12)+INDEX(AC:AC,MATCH(AC52,$S:$S,0)+13))</f>
        <v>165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1"/>
        <v/>
      </c>
      <c r="D58" s="344">
        <f>IF(U58=301,"",U58)</f>
        <v>244</v>
      </c>
      <c r="E58" s="344" t="str">
        <f>IF(V58=0,"",V58)</f>
        <v/>
      </c>
      <c r="F58" s="344">
        <f>IF(W58=301,"",W58)</f>
        <v>200</v>
      </c>
      <c r="G58" s="344" t="str">
        <f>IF(X58=0,"",X58)</f>
        <v/>
      </c>
      <c r="H58" s="344">
        <f>IF(Y58=301,"",Y58)</f>
        <v>173</v>
      </c>
      <c r="I58" s="344" t="str">
        <f>IF(Z58=0,"",Z58)</f>
        <v/>
      </c>
      <c r="J58" s="344">
        <f>IF(AA58=301,"",AA58)</f>
        <v>176</v>
      </c>
      <c r="K58" s="344" t="str">
        <f>IF(AB58=0,"",AB58)</f>
        <v/>
      </c>
      <c r="L58" s="344">
        <f>IF(AC58=301,"",AC58)</f>
        <v>192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244</v>
      </c>
      <c r="V58" s="366"/>
      <c r="W58" s="365">
        <f>ABS(INDEX(W:W,MATCH(W52,$S:$S,0)+14)+INDEX(W:W,MATCH(W52,$S:$S,0)+15)+INDEX(W:W,MATCH(W52,$S:$S,0)+16))</f>
        <v>200</v>
      </c>
      <c r="X58" s="366"/>
      <c r="Y58" s="365">
        <f>ABS(INDEX(Y:Y,MATCH(Y52,$S:$S,0)+14)+INDEX(Y:Y,MATCH(Y52,$S:$S,0)+15)+INDEX(Y:Y,MATCH(Y52,$S:$S,0)+16))</f>
        <v>173</v>
      </c>
      <c r="Z58" s="366"/>
      <c r="AA58" s="365">
        <f>ABS(INDEX(AA:AA,MATCH(AA52,$S:$S,0)+14)+INDEX(AA:AA,MATCH(AA52,$S:$S,0)+15)+INDEX(AA:AA,MATCH(AA52,$S:$S,0)+16))</f>
        <v>176</v>
      </c>
      <c r="AB58" s="366"/>
      <c r="AC58" s="365">
        <f>ABS(INDEX(AC:AC,MATCH(AC52,$S:$S,0)+14)+INDEX(AC:AC,MATCH(AC52,$S:$S,0)+15)+INDEX(AC:AC,MATCH(AC52,$S:$S,0)+16))</f>
        <v>192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1"/>
        <v/>
      </c>
      <c r="D59" s="343">
        <f>IF(U59=1505,"",U59)</f>
        <v>793</v>
      </c>
      <c r="E59" s="343" t="str">
        <f>IF(V59=0,"",V59)</f>
        <v/>
      </c>
      <c r="F59" s="343">
        <f>IF(W59=1505,"",W59)</f>
        <v>714</v>
      </c>
      <c r="G59" s="343" t="str">
        <f>IF(X59=0,"",X59)</f>
        <v/>
      </c>
      <c r="H59" s="343">
        <f>IF(Y59=1505,"",Y59)</f>
        <v>754</v>
      </c>
      <c r="I59" s="343" t="str">
        <f>IF(Z59=0,"",Z59)</f>
        <v/>
      </c>
      <c r="J59" s="343">
        <f>IF(AA59=1505,"",AA59)</f>
        <v>617</v>
      </c>
      <c r="K59" s="343" t="str">
        <f>IF(AB59=0,"",AB59)</f>
        <v/>
      </c>
      <c r="L59" s="343">
        <f>IF(AC59=1505,"",AC59)</f>
        <v>690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793</v>
      </c>
      <c r="V59" s="360"/>
      <c r="W59" s="359">
        <f>SUM(W55:W58)</f>
        <v>714</v>
      </c>
      <c r="X59" s="360"/>
      <c r="Y59" s="359">
        <f>SUM(Y55:Y58)</f>
        <v>754</v>
      </c>
      <c r="Z59" s="360"/>
      <c r="AA59" s="359">
        <f>SUM(AA55:AA58)</f>
        <v>617</v>
      </c>
      <c r="AB59" s="360"/>
      <c r="AC59" s="359">
        <f>SUM(AC55:AC58)</f>
        <v>690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 t="str">
        <f>Schlüssel!$BU$1</f>
        <v>02.03.</v>
      </c>
      <c r="N61" s="376"/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Schlüssel!$BU$1</f>
        <v>02.03.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">
        <v>1786</v>
      </c>
      <c r="E62" s="84" t="str">
        <f>V62</f>
        <v>Regensburg Super Bowl</v>
      </c>
      <c r="F62" s="77"/>
      <c r="G62" s="77"/>
      <c r="H62" s="77"/>
      <c r="I62" s="77"/>
      <c r="J62" s="77"/>
      <c r="K62" s="77"/>
      <c r="L62" s="29" t="str">
        <f>AC62</f>
        <v>Spieltag:</v>
      </c>
      <c r="M62" s="86">
        <f>AD62</f>
        <v>4</v>
      </c>
      <c r="N62" s="28"/>
      <c r="R62" s="49"/>
      <c r="S62" s="50">
        <v>3</v>
      </c>
      <c r="U62" s="30" t="s">
        <v>1786</v>
      </c>
      <c r="V62" s="84" t="str">
        <f>Schlüssel!$BK$2</f>
        <v>Regensburg Super Bowl</v>
      </c>
      <c r="X62" s="77"/>
      <c r="Y62" s="77"/>
      <c r="Z62" s="77"/>
      <c r="AA62" s="77"/>
      <c r="AB62" s="77"/>
      <c r="AC62" s="29" t="s">
        <v>1784</v>
      </c>
      <c r="AD62" s="34">
        <v>4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VLOOKUP(S62,Schlüssel!$A$5:$DZ$10,73)</f>
        <v>15</v>
      </c>
      <c r="W64" s="193" t="s">
        <v>10</v>
      </c>
      <c r="X64" s="191">
        <f>VLOOKUP(S62,Schlüssel!$A$5:$DZ$10,74)</f>
        <v>14</v>
      </c>
      <c r="Y64" s="193" t="s">
        <v>10</v>
      </c>
      <c r="Z64" s="191">
        <f>VLOOKUP(S62,Schlüssel!$A$5:$DZ$10,75)</f>
        <v>16</v>
      </c>
      <c r="AA64" s="193" t="s">
        <v>10</v>
      </c>
      <c r="AB64" s="191">
        <f>VLOOKUP(S62,Schlüssel!$A$5:$DZ$10,76)</f>
        <v>11</v>
      </c>
      <c r="AC64" s="193" t="s">
        <v>10</v>
      </c>
      <c r="AD64" s="192">
        <f>VLOOKUP(S62,Schlüssel!$A$5:$DZ$10,77)</f>
        <v>13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>Wallner, Harald</v>
      </c>
      <c r="C67" s="18">
        <f>IF(T67=0,"",T67)</f>
        <v>7128</v>
      </c>
      <c r="D67" s="14">
        <f>IF(U67=0,"",U67)</f>
        <v>192</v>
      </c>
      <c r="E67" s="352">
        <f>IF(V67="","",V67)</f>
        <v>0</v>
      </c>
      <c r="F67" s="14">
        <f t="shared" ref="F67:F80" si="52">IF(W67=0,"",W67)</f>
        <v>214</v>
      </c>
      <c r="G67" s="352">
        <f>IF(X67="","",X67)</f>
        <v>1</v>
      </c>
      <c r="H67" s="14">
        <f t="shared" ref="H67:H80" si="53">IF(Y67=0,"",Y67)</f>
        <v>143</v>
      </c>
      <c r="I67" s="352">
        <f>IF(Z67="","",Z67)</f>
        <v>0</v>
      </c>
      <c r="J67" s="14">
        <f t="shared" ref="J67:J80" si="54">IF(AA67=0,"",AA67)</f>
        <v>154</v>
      </c>
      <c r="K67" s="352">
        <f>IF(AB67="","",AB67)</f>
        <v>0</v>
      </c>
      <c r="L67" s="14">
        <f t="shared" ref="L67:L80" si="55">IF(AC67=0,"",AC67)</f>
        <v>211</v>
      </c>
      <c r="M67" s="352">
        <f>IF(AD67="","",AD67)</f>
        <v>1</v>
      </c>
      <c r="N67" s="14">
        <f t="shared" ref="N67:N80" si="56">IF(AE67=0,"",AE67)</f>
        <v>914</v>
      </c>
      <c r="O67" s="352">
        <f>IF(AF67="","",AF67)</f>
        <v>2</v>
      </c>
      <c r="R67" s="355" t="s">
        <v>0</v>
      </c>
      <c r="S67" s="68" t="str">
        <f>IF(T67=0,"",VLOOKUP(T67,Starter!$A$1:$D$196,2,FALSE))</f>
        <v>Wallner, Harald</v>
      </c>
      <c r="T67" s="175">
        <v>7128</v>
      </c>
      <c r="U67" s="183">
        <v>192</v>
      </c>
      <c r="V67" s="95">
        <f>IF(SUM(U67:U69)+U85=0,0,IF(ABS(SUM(U67:U69))=U85,0.5,IF(ABS(SUM(U67:U69))&gt;U85,1,0)))</f>
        <v>0</v>
      </c>
      <c r="W67" s="183">
        <v>214</v>
      </c>
      <c r="X67" s="95">
        <f>IF(SUM(W67:W69)+W85=0,0,IF(ABS(SUM(W67:W69))=W85,0.5,IF(ABS(SUM(W67:W69))&gt;W85,1,0)))</f>
        <v>1</v>
      </c>
      <c r="Y67" s="183">
        <v>143</v>
      </c>
      <c r="Z67" s="95">
        <f>IF(SUM(Y67:Y69)+Y85=0,0,IF(ABS(SUM(Y67:Y69))=Y85,0.5,IF(ABS(SUM(Y67:Y69))&gt;Y85,1,0)))</f>
        <v>0</v>
      </c>
      <c r="AA67" s="189">
        <v>154</v>
      </c>
      <c r="AB67" s="95">
        <f>IF(SUM(AA67:AA69)+AA85=0,0,IF(ABS(SUM(AA67:AA69))=AA85,0.5,IF(ABS(SUM(AA67:AA69))&gt;AA85,1,0)))</f>
        <v>0</v>
      </c>
      <c r="AC67" s="183">
        <v>211</v>
      </c>
      <c r="AD67" s="95">
        <f>IF(SUM(AC67:AC69)+AC85=0,0,IF(ABS(SUM(AC67:AC69))=AC85,0.5,IF(ABS(SUM(AC67:AC69))&gt;AC85,1,0)))</f>
        <v>1</v>
      </c>
      <c r="AE67" s="195">
        <f t="shared" ref="AE67:AE78" si="57">ABS(SUM(U67:U67))+ABS(SUM(W67:W67))+ABS(SUM(Y67:Y67))+ABS(SUM(AA67:AA67))+ABS(SUM(AC67:AC67))</f>
        <v>914</v>
      </c>
      <c r="AF67" s="180">
        <f>SUM(V67+X67+Z67+AB67+AD67)</f>
        <v>2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58">T67</f>
        <v>7128</v>
      </c>
      <c r="BE67" s="213">
        <f t="shared" ref="BE67:BE78" si="59">AE67</f>
        <v>914</v>
      </c>
      <c r="BF67" s="215">
        <f t="shared" ref="BF67:BF78" si="60">COUNT(BH67:BL67)</f>
        <v>5</v>
      </c>
      <c r="BG67" s="215">
        <f t="shared" ref="BG67:BG78" si="61">COUNTIF(BH67:BL67,"&gt;0")</f>
        <v>5</v>
      </c>
      <c r="BH67" s="215">
        <f t="shared" ref="BH67:BH78" si="62">IF(U67=0,"",U67)</f>
        <v>192</v>
      </c>
      <c r="BI67" s="215">
        <f t="shared" ref="BI67:BI78" si="63">IF(W67=0,"",W67)</f>
        <v>214</v>
      </c>
      <c r="BJ67" s="215">
        <f t="shared" ref="BJ67:BJ78" si="64">IF(Y67=0,"",Y67)</f>
        <v>143</v>
      </c>
      <c r="BK67" s="215">
        <f t="shared" ref="BK67:BK78" si="65">IF(AA67=0,"",AA67)</f>
        <v>154</v>
      </c>
      <c r="BL67" s="215">
        <f t="shared" ref="BL67:BL78" si="66">IF(AC67=0,"",AC67)</f>
        <v>211</v>
      </c>
      <c r="BM67" s="216"/>
      <c r="BN67" s="214"/>
      <c r="BO67" s="215">
        <f t="shared" ref="BO67:BO78" si="67">MAX(BH67:BL67)</f>
        <v>214</v>
      </c>
      <c r="BP67" s="215">
        <f t="shared" ref="BP67:BP78" si="68">IF(BO67&lt;MAX(BO:BO),0,BO67+ROW()/1000000000)</f>
        <v>0</v>
      </c>
      <c r="BQ67" s="215" t="str">
        <f>+S63</f>
        <v>Kings Club Bayreuth Land 2</v>
      </c>
      <c r="BR67" s="214">
        <f t="shared" ref="BR67:BR78" si="69">RANK(BP67,BP:BP)</f>
        <v>2</v>
      </c>
      <c r="BS67" s="215">
        <f t="shared" ref="BS67:BS78" si="70">SUMIF(BH67:BL67,"&gt;0")</f>
        <v>914</v>
      </c>
      <c r="BT67" s="215">
        <f>IF(COUNTIF(BH67:BL67,"&gt;0")&lt;Spielorte!$A$23,0,BE67/Spielorte!$A$23)</f>
        <v>182.8</v>
      </c>
      <c r="BU67" s="215">
        <f t="shared" ref="BU67:BU78" si="71">IF(BT67&lt;MAX(BT:BT),0,BT67+ROW()/1000000000)</f>
        <v>0</v>
      </c>
      <c r="BV67" s="214">
        <f t="shared" ref="BV67:BV78" si="72">IF(BU67=0,0,RANK(BU67,BU:BU))</f>
        <v>0</v>
      </c>
    </row>
    <row r="68" spans="1:74" ht="17.100000000000001" customHeight="1" x14ac:dyDescent="0.2">
      <c r="A68" s="374"/>
      <c r="B68" s="19" t="str">
        <f t="shared" ref="B68:D80" si="73">IF(S68=0,"",S68)</f>
        <v/>
      </c>
      <c r="C68" s="20" t="str">
        <f t="shared" si="73"/>
        <v/>
      </c>
      <c r="D68" s="15" t="str">
        <f t="shared" si="73"/>
        <v/>
      </c>
      <c r="E68" s="353"/>
      <c r="F68" s="15" t="str">
        <f t="shared" si="52"/>
        <v/>
      </c>
      <c r="G68" s="353"/>
      <c r="H68" s="15" t="str">
        <f t="shared" si="53"/>
        <v/>
      </c>
      <c r="I68" s="353"/>
      <c r="J68" s="15" t="str">
        <f t="shared" si="54"/>
        <v/>
      </c>
      <c r="K68" s="353"/>
      <c r="L68" s="15" t="str">
        <f t="shared" si="55"/>
        <v/>
      </c>
      <c r="M68" s="353"/>
      <c r="N68" s="15" t="str">
        <f t="shared" si="56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7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58"/>
        <v>0</v>
      </c>
      <c r="BE68" s="213">
        <f t="shared" si="59"/>
        <v>0</v>
      </c>
      <c r="BF68" s="215">
        <f t="shared" si="60"/>
        <v>0</v>
      </c>
      <c r="BG68" s="215">
        <f t="shared" si="61"/>
        <v>0</v>
      </c>
      <c r="BH68" s="215" t="str">
        <f t="shared" si="62"/>
        <v/>
      </c>
      <c r="BI68" s="215" t="str">
        <f t="shared" si="63"/>
        <v/>
      </c>
      <c r="BJ68" s="215" t="str">
        <f t="shared" si="64"/>
        <v/>
      </c>
      <c r="BK68" s="215" t="str">
        <f t="shared" si="65"/>
        <v/>
      </c>
      <c r="BL68" s="215" t="str">
        <f t="shared" si="66"/>
        <v/>
      </c>
      <c r="BM68" s="216"/>
      <c r="BN68" s="214"/>
      <c r="BO68" s="215">
        <f t="shared" si="67"/>
        <v>0</v>
      </c>
      <c r="BP68" s="215">
        <f t="shared" si="68"/>
        <v>0</v>
      </c>
      <c r="BQ68" s="215" t="str">
        <f t="shared" ref="BQ68:BQ78" si="74">+BQ67</f>
        <v>Kings Club Bayreuth Land 2</v>
      </c>
      <c r="BR68" s="214">
        <f t="shared" si="69"/>
        <v>2</v>
      </c>
      <c r="BS68" s="215">
        <f t="shared" si="70"/>
        <v>0</v>
      </c>
      <c r="BT68" s="215">
        <f>IF(COUNTIF(BH68:BL68,"&gt;0")&lt;Spielorte!$A$23,0,BE68/Spielorte!$A$23)</f>
        <v>0</v>
      </c>
      <c r="BU68" s="215">
        <f t="shared" si="71"/>
        <v>0</v>
      </c>
      <c r="BV68" s="214">
        <f t="shared" si="72"/>
        <v>0</v>
      </c>
    </row>
    <row r="69" spans="1:74" ht="17.100000000000001" customHeight="1" thickBot="1" x14ac:dyDescent="0.25">
      <c r="A69" s="375"/>
      <c r="B69" s="21" t="str">
        <f t="shared" si="73"/>
        <v/>
      </c>
      <c r="C69" s="22" t="str">
        <f t="shared" si="73"/>
        <v/>
      </c>
      <c r="D69" s="9" t="str">
        <f t="shared" si="73"/>
        <v/>
      </c>
      <c r="E69" s="354"/>
      <c r="F69" s="9" t="str">
        <f t="shared" si="52"/>
        <v/>
      </c>
      <c r="G69" s="354"/>
      <c r="H69" s="9" t="str">
        <f t="shared" si="53"/>
        <v/>
      </c>
      <c r="I69" s="354"/>
      <c r="J69" s="9" t="str">
        <f t="shared" si="54"/>
        <v/>
      </c>
      <c r="K69" s="354"/>
      <c r="L69" s="9" t="str">
        <f t="shared" si="55"/>
        <v/>
      </c>
      <c r="M69" s="354"/>
      <c r="N69" s="9" t="str">
        <f t="shared" si="56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7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58"/>
        <v>0</v>
      </c>
      <c r="BE69" s="213">
        <f t="shared" si="59"/>
        <v>0</v>
      </c>
      <c r="BF69" s="215">
        <f t="shared" si="60"/>
        <v>0</v>
      </c>
      <c r="BG69" s="215">
        <f t="shared" si="61"/>
        <v>0</v>
      </c>
      <c r="BH69" s="215" t="str">
        <f t="shared" si="62"/>
        <v/>
      </c>
      <c r="BI69" s="215" t="str">
        <f t="shared" si="63"/>
        <v/>
      </c>
      <c r="BJ69" s="215" t="str">
        <f t="shared" si="64"/>
        <v/>
      </c>
      <c r="BK69" s="215" t="str">
        <f t="shared" si="65"/>
        <v/>
      </c>
      <c r="BL69" s="215" t="str">
        <f t="shared" si="66"/>
        <v/>
      </c>
      <c r="BM69" s="216"/>
      <c r="BN69" s="214"/>
      <c r="BO69" s="215">
        <f t="shared" si="67"/>
        <v>0</v>
      </c>
      <c r="BP69" s="215">
        <f t="shared" si="68"/>
        <v>0</v>
      </c>
      <c r="BQ69" s="215" t="str">
        <f t="shared" si="74"/>
        <v>Kings Club Bayreuth Land 2</v>
      </c>
      <c r="BR69" s="214">
        <f t="shared" si="69"/>
        <v>2</v>
      </c>
      <c r="BS69" s="215">
        <f t="shared" si="70"/>
        <v>0</v>
      </c>
      <c r="BT69" s="215">
        <f>IF(COUNTIF(BH69:BL69,"&gt;0")&lt;Spielorte!$A$23,0,BE69/Spielorte!$A$23)</f>
        <v>0</v>
      </c>
      <c r="BU69" s="215">
        <f t="shared" si="71"/>
        <v>0</v>
      </c>
      <c r="BV69" s="214">
        <f t="shared" si="72"/>
        <v>0</v>
      </c>
    </row>
    <row r="70" spans="1:74" ht="17.100000000000001" customHeight="1" x14ac:dyDescent="0.2">
      <c r="A70" s="373" t="s">
        <v>2</v>
      </c>
      <c r="B70" s="17" t="str">
        <f t="shared" si="73"/>
        <v>Reichert, Roland</v>
      </c>
      <c r="C70" s="18">
        <f t="shared" si="73"/>
        <v>7123</v>
      </c>
      <c r="D70" s="14">
        <f t="shared" si="73"/>
        <v>132</v>
      </c>
      <c r="E70" s="352">
        <f>IF(V70="","",V70)</f>
        <v>0</v>
      </c>
      <c r="F70" s="14">
        <f t="shared" si="52"/>
        <v>162</v>
      </c>
      <c r="G70" s="352">
        <f>IF(X70="","",X70)</f>
        <v>0</v>
      </c>
      <c r="H70" s="14">
        <f t="shared" si="53"/>
        <v>156</v>
      </c>
      <c r="I70" s="352">
        <f>IF(Z70="","",Z70)</f>
        <v>0</v>
      </c>
      <c r="J70" s="14">
        <f t="shared" si="54"/>
        <v>163</v>
      </c>
      <c r="K70" s="352">
        <f>IF(AB70="","",AB70)</f>
        <v>1</v>
      </c>
      <c r="L70" s="14">
        <f t="shared" si="55"/>
        <v>122</v>
      </c>
      <c r="M70" s="352">
        <f>IF(AD70="","",AD70)</f>
        <v>0</v>
      </c>
      <c r="N70" s="14">
        <f t="shared" si="56"/>
        <v>735</v>
      </c>
      <c r="O70" s="352">
        <f>IF(AF70="","",AF70)</f>
        <v>1</v>
      </c>
      <c r="R70" s="355" t="s">
        <v>2</v>
      </c>
      <c r="S70" s="68" t="str">
        <f>IF(T70=0,"",VLOOKUP(T70,Starter!$A$1:$D$196,2,FALSE))</f>
        <v>Reichert, Roland</v>
      </c>
      <c r="T70" s="178">
        <v>7123</v>
      </c>
      <c r="U70" s="186">
        <v>132</v>
      </c>
      <c r="V70" s="95">
        <f>IF(SUM(U70:U72)+U86=0,0,IF(ABS(SUM(U70:U72))=U86,0.5,IF(ABS(SUM(U70:U72))&gt;U86,1,0)))</f>
        <v>0</v>
      </c>
      <c r="W70" s="186">
        <v>162</v>
      </c>
      <c r="X70" s="95">
        <f>IF(SUM(W70:W72)+W86=0,0,IF(ABS(SUM(W70:W72))=W86,0.5,IF(ABS(SUM(W70:W72))&gt;W86,1,0)))</f>
        <v>0</v>
      </c>
      <c r="Y70" s="186">
        <v>156</v>
      </c>
      <c r="Z70" s="95">
        <f>IF(SUM(Y70:Y72)+Y86=0,0,IF(ABS(SUM(Y70:Y72))=Y86,0.5,IF(ABS(SUM(Y70:Y72))&gt;Y86,1,0)))</f>
        <v>0</v>
      </c>
      <c r="AA70" s="186">
        <v>163</v>
      </c>
      <c r="AB70" s="95">
        <f>IF(SUM(AA70:AA72)+AA86=0,0,IF(ABS(SUM(AA70:AA72))=AA86,0.5,IF(ABS(SUM(AA70:AA72))&gt;AA86,1,0)))</f>
        <v>1</v>
      </c>
      <c r="AC70" s="186">
        <v>122</v>
      </c>
      <c r="AD70" s="95">
        <f>IF(SUM(AC70:AC72)+AC86=0,0,IF(ABS(SUM(AC70:AC72))=AC86,0.5,IF(ABS(SUM(AC70:AC72))&gt;AC86,1,0)))</f>
        <v>0</v>
      </c>
      <c r="AE70" s="195">
        <f t="shared" si="57"/>
        <v>735</v>
      </c>
      <c r="AF70" s="180">
        <f>SUM(V70+X70+Z70+AB70+AD70)</f>
        <v>1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58"/>
        <v>7123</v>
      </c>
      <c r="BE70" s="213">
        <f t="shared" si="59"/>
        <v>735</v>
      </c>
      <c r="BF70" s="215">
        <f t="shared" si="60"/>
        <v>5</v>
      </c>
      <c r="BG70" s="215">
        <f t="shared" si="61"/>
        <v>5</v>
      </c>
      <c r="BH70" s="215">
        <f t="shared" si="62"/>
        <v>132</v>
      </c>
      <c r="BI70" s="215">
        <f t="shared" si="63"/>
        <v>162</v>
      </c>
      <c r="BJ70" s="215">
        <f t="shared" si="64"/>
        <v>156</v>
      </c>
      <c r="BK70" s="215">
        <f t="shared" si="65"/>
        <v>163</v>
      </c>
      <c r="BL70" s="215">
        <f t="shared" si="66"/>
        <v>122</v>
      </c>
      <c r="BM70" s="216"/>
      <c r="BN70" s="214"/>
      <c r="BO70" s="215">
        <f t="shared" si="67"/>
        <v>163</v>
      </c>
      <c r="BP70" s="215">
        <f t="shared" si="68"/>
        <v>0</v>
      </c>
      <c r="BQ70" s="215" t="str">
        <f t="shared" si="74"/>
        <v>Kings Club Bayreuth Land 2</v>
      </c>
      <c r="BR70" s="214">
        <f t="shared" si="69"/>
        <v>2</v>
      </c>
      <c r="BS70" s="215">
        <f t="shared" si="70"/>
        <v>735</v>
      </c>
      <c r="BT70" s="215">
        <f>IF(COUNTIF(BH70:BL70,"&gt;0")&lt;Spielorte!$A$23,0,BE70/Spielorte!$A$23)</f>
        <v>147</v>
      </c>
      <c r="BU70" s="215">
        <f t="shared" si="71"/>
        <v>0</v>
      </c>
      <c r="BV70" s="214">
        <f t="shared" si="72"/>
        <v>0</v>
      </c>
    </row>
    <row r="71" spans="1:74" ht="17.100000000000001" customHeight="1" x14ac:dyDescent="0.2">
      <c r="A71" s="374"/>
      <c r="B71" s="19" t="str">
        <f t="shared" si="73"/>
        <v/>
      </c>
      <c r="C71" s="20" t="str">
        <f t="shared" si="73"/>
        <v/>
      </c>
      <c r="D71" s="15" t="str">
        <f t="shared" si="73"/>
        <v/>
      </c>
      <c r="E71" s="353"/>
      <c r="F71" s="15" t="str">
        <f t="shared" si="52"/>
        <v/>
      </c>
      <c r="G71" s="353"/>
      <c r="H71" s="15" t="str">
        <f t="shared" si="53"/>
        <v/>
      </c>
      <c r="I71" s="353"/>
      <c r="J71" s="15" t="str">
        <f t="shared" si="54"/>
        <v/>
      </c>
      <c r="K71" s="353"/>
      <c r="L71" s="15" t="str">
        <f t="shared" si="55"/>
        <v/>
      </c>
      <c r="M71" s="353"/>
      <c r="N71" s="15" t="str">
        <f t="shared" si="56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7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58"/>
        <v>0</v>
      </c>
      <c r="BE71" s="213">
        <f t="shared" si="59"/>
        <v>0</v>
      </c>
      <c r="BF71" s="215">
        <f t="shared" si="60"/>
        <v>0</v>
      </c>
      <c r="BG71" s="215">
        <f t="shared" si="61"/>
        <v>0</v>
      </c>
      <c r="BH71" s="215" t="str">
        <f t="shared" si="62"/>
        <v/>
      </c>
      <c r="BI71" s="215" t="str">
        <f t="shared" si="63"/>
        <v/>
      </c>
      <c r="BJ71" s="215" t="str">
        <f t="shared" si="64"/>
        <v/>
      </c>
      <c r="BK71" s="215" t="str">
        <f t="shared" si="65"/>
        <v/>
      </c>
      <c r="BL71" s="215" t="str">
        <f t="shared" si="66"/>
        <v/>
      </c>
      <c r="BM71" s="216"/>
      <c r="BN71" s="214"/>
      <c r="BO71" s="215">
        <f t="shared" si="67"/>
        <v>0</v>
      </c>
      <c r="BP71" s="215">
        <f t="shared" si="68"/>
        <v>0</v>
      </c>
      <c r="BQ71" s="215" t="str">
        <f t="shared" si="74"/>
        <v>Kings Club Bayreuth Land 2</v>
      </c>
      <c r="BR71" s="214">
        <f t="shared" si="69"/>
        <v>2</v>
      </c>
      <c r="BS71" s="215">
        <f t="shared" si="70"/>
        <v>0</v>
      </c>
      <c r="BT71" s="215">
        <f>IF(COUNTIF(BH71:BL71,"&gt;0")&lt;Spielorte!$A$23,0,BE71/Spielorte!$A$23)</f>
        <v>0</v>
      </c>
      <c r="BU71" s="215">
        <f t="shared" si="71"/>
        <v>0</v>
      </c>
      <c r="BV71" s="214">
        <f t="shared" si="72"/>
        <v>0</v>
      </c>
    </row>
    <row r="72" spans="1:74" ht="17.100000000000001" customHeight="1" thickBot="1" x14ac:dyDescent="0.25">
      <c r="A72" s="375"/>
      <c r="B72" s="21" t="str">
        <f t="shared" si="73"/>
        <v/>
      </c>
      <c r="C72" s="22" t="str">
        <f t="shared" si="73"/>
        <v/>
      </c>
      <c r="D72" s="9" t="str">
        <f t="shared" si="73"/>
        <v/>
      </c>
      <c r="E72" s="354"/>
      <c r="F72" s="9" t="str">
        <f t="shared" si="52"/>
        <v/>
      </c>
      <c r="G72" s="354"/>
      <c r="H72" s="9" t="str">
        <f t="shared" si="53"/>
        <v/>
      </c>
      <c r="I72" s="354"/>
      <c r="J72" s="9" t="str">
        <f t="shared" si="54"/>
        <v/>
      </c>
      <c r="K72" s="354"/>
      <c r="L72" s="9" t="str">
        <f t="shared" si="55"/>
        <v/>
      </c>
      <c r="M72" s="354"/>
      <c r="N72" s="9" t="str">
        <f t="shared" si="56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7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58"/>
        <v>0</v>
      </c>
      <c r="BE72" s="213">
        <f t="shared" si="59"/>
        <v>0</v>
      </c>
      <c r="BF72" s="215">
        <f t="shared" si="60"/>
        <v>0</v>
      </c>
      <c r="BG72" s="215">
        <f t="shared" si="61"/>
        <v>0</v>
      </c>
      <c r="BH72" s="215" t="str">
        <f t="shared" si="62"/>
        <v/>
      </c>
      <c r="BI72" s="215" t="str">
        <f t="shared" si="63"/>
        <v/>
      </c>
      <c r="BJ72" s="215" t="str">
        <f t="shared" si="64"/>
        <v/>
      </c>
      <c r="BK72" s="215" t="str">
        <f t="shared" si="65"/>
        <v/>
      </c>
      <c r="BL72" s="215" t="str">
        <f t="shared" si="66"/>
        <v/>
      </c>
      <c r="BM72" s="216"/>
      <c r="BN72" s="214"/>
      <c r="BO72" s="215">
        <f t="shared" si="67"/>
        <v>0</v>
      </c>
      <c r="BP72" s="215">
        <f t="shared" si="68"/>
        <v>0</v>
      </c>
      <c r="BQ72" s="215" t="str">
        <f t="shared" si="74"/>
        <v>Kings Club Bayreuth Land 2</v>
      </c>
      <c r="BR72" s="214">
        <f t="shared" si="69"/>
        <v>2</v>
      </c>
      <c r="BS72" s="215">
        <f t="shared" si="70"/>
        <v>0</v>
      </c>
      <c r="BT72" s="215">
        <f>IF(COUNTIF(BH72:BL72,"&gt;0")&lt;Spielorte!$A$23,0,BE72/Spielorte!$A$23)</f>
        <v>0</v>
      </c>
      <c r="BU72" s="215">
        <f t="shared" si="71"/>
        <v>0</v>
      </c>
      <c r="BV72" s="214">
        <f t="shared" si="72"/>
        <v>0</v>
      </c>
    </row>
    <row r="73" spans="1:74" ht="17.100000000000001" customHeight="1" x14ac:dyDescent="0.2">
      <c r="A73" s="373" t="s">
        <v>3</v>
      </c>
      <c r="B73" s="17" t="str">
        <f t="shared" si="73"/>
        <v>Theisen, Alexander</v>
      </c>
      <c r="C73" s="18">
        <f t="shared" si="73"/>
        <v>25479</v>
      </c>
      <c r="D73" s="14">
        <f t="shared" si="73"/>
        <v>116</v>
      </c>
      <c r="E73" s="352">
        <f>IF(V73="","",V73)</f>
        <v>0</v>
      </c>
      <c r="F73" s="14">
        <f t="shared" si="52"/>
        <v>173</v>
      </c>
      <c r="G73" s="352">
        <f>IF(X73="","",X73)</f>
        <v>0</v>
      </c>
      <c r="H73" s="14">
        <f t="shared" si="53"/>
        <v>209</v>
      </c>
      <c r="I73" s="352">
        <f>IF(Z73="","",Z73)</f>
        <v>1</v>
      </c>
      <c r="J73" s="14">
        <f t="shared" si="54"/>
        <v>113</v>
      </c>
      <c r="K73" s="352">
        <f>IF(AB73="","",AB73)</f>
        <v>0</v>
      </c>
      <c r="L73" s="14">
        <f t="shared" si="55"/>
        <v>165</v>
      </c>
      <c r="M73" s="352">
        <f>IF(AD73="","",AD73)</f>
        <v>1</v>
      </c>
      <c r="N73" s="14">
        <f t="shared" si="56"/>
        <v>776</v>
      </c>
      <c r="O73" s="352">
        <f>IF(AF73="","",AF73)</f>
        <v>2</v>
      </c>
      <c r="R73" s="355" t="s">
        <v>3</v>
      </c>
      <c r="S73" s="68" t="str">
        <f>IF(T73=0,"",VLOOKUP(T73,Starter!$A$1:$D$196,2,FALSE))</f>
        <v>Theisen, Alexander</v>
      </c>
      <c r="T73" s="178">
        <v>25479</v>
      </c>
      <c r="U73" s="186">
        <v>116</v>
      </c>
      <c r="V73" s="95">
        <f>IF(SUM(U73:U75)+U87=0,0,IF(ABS(SUM(U73:U75))=U87,0.5,IF(ABS(SUM(U73:U75))&gt;U87,1,0)))</f>
        <v>0</v>
      </c>
      <c r="W73" s="186">
        <v>173</v>
      </c>
      <c r="X73" s="95">
        <f>IF(SUM(W73:W75)+W87=0,0,IF(ABS(SUM(W73:W75))=W87,0.5,IF(ABS(SUM(W73:W75))&gt;W87,1,0)))</f>
        <v>0</v>
      </c>
      <c r="Y73" s="186">
        <v>209</v>
      </c>
      <c r="Z73" s="95">
        <f>IF(SUM(Y73:Y75)+Y87=0,0,IF(ABS(SUM(Y73:Y75))=Y87,0.5,IF(ABS(SUM(Y73:Y75))&gt;Y87,1,0)))</f>
        <v>1</v>
      </c>
      <c r="AA73" s="186">
        <v>113</v>
      </c>
      <c r="AB73" s="95">
        <f>IF(SUM(AA73:AA75)+AA87=0,0,IF(ABS(SUM(AA73:AA75))=AA87,0.5,IF(ABS(SUM(AA73:AA75))&gt;AA87,1,0)))</f>
        <v>0</v>
      </c>
      <c r="AC73" s="186">
        <v>165</v>
      </c>
      <c r="AD73" s="95">
        <f>IF(SUM(AC73:AC75)+AC87=0,0,IF(ABS(SUM(AC73:AC75))=AC87,0.5,IF(ABS(SUM(AC73:AC75))&gt;AC87,1,0)))</f>
        <v>1</v>
      </c>
      <c r="AE73" s="195">
        <f t="shared" si="57"/>
        <v>776</v>
      </c>
      <c r="AF73" s="180">
        <f>SUM(V73+X73+Z73+AB73+AD73)</f>
        <v>2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58"/>
        <v>25479</v>
      </c>
      <c r="BE73" s="213">
        <f t="shared" si="59"/>
        <v>776</v>
      </c>
      <c r="BF73" s="215">
        <f t="shared" si="60"/>
        <v>5</v>
      </c>
      <c r="BG73" s="215">
        <f t="shared" si="61"/>
        <v>5</v>
      </c>
      <c r="BH73" s="215">
        <f t="shared" si="62"/>
        <v>116</v>
      </c>
      <c r="BI73" s="215">
        <f t="shared" si="63"/>
        <v>173</v>
      </c>
      <c r="BJ73" s="215">
        <f t="shared" si="64"/>
        <v>209</v>
      </c>
      <c r="BK73" s="215">
        <f t="shared" si="65"/>
        <v>113</v>
      </c>
      <c r="BL73" s="215">
        <f t="shared" si="66"/>
        <v>165</v>
      </c>
      <c r="BM73" s="216"/>
      <c r="BN73" s="214"/>
      <c r="BO73" s="215">
        <f t="shared" si="67"/>
        <v>209</v>
      </c>
      <c r="BP73" s="215">
        <f t="shared" si="68"/>
        <v>0</v>
      </c>
      <c r="BQ73" s="215" t="str">
        <f t="shared" si="74"/>
        <v>Kings Club Bayreuth Land 2</v>
      </c>
      <c r="BR73" s="214">
        <f t="shared" si="69"/>
        <v>2</v>
      </c>
      <c r="BS73" s="215">
        <f t="shared" si="70"/>
        <v>776</v>
      </c>
      <c r="BT73" s="215">
        <f>IF(COUNTIF(BH73:BL73,"&gt;0")&lt;Spielorte!$A$23,0,BE73/Spielorte!$A$23)</f>
        <v>155.19999999999999</v>
      </c>
      <c r="BU73" s="215">
        <f t="shared" si="71"/>
        <v>0</v>
      </c>
      <c r="BV73" s="214">
        <f t="shared" si="72"/>
        <v>0</v>
      </c>
    </row>
    <row r="74" spans="1:74" ht="17.100000000000001" customHeight="1" x14ac:dyDescent="0.2">
      <c r="A74" s="374"/>
      <c r="B74" s="19" t="str">
        <f t="shared" si="73"/>
        <v/>
      </c>
      <c r="C74" s="20" t="str">
        <f t="shared" si="73"/>
        <v/>
      </c>
      <c r="D74" s="15" t="str">
        <f t="shared" si="73"/>
        <v/>
      </c>
      <c r="E74" s="353"/>
      <c r="F74" s="15" t="str">
        <f t="shared" si="52"/>
        <v/>
      </c>
      <c r="G74" s="353"/>
      <c r="H74" s="15" t="str">
        <f t="shared" si="53"/>
        <v/>
      </c>
      <c r="I74" s="353"/>
      <c r="J74" s="15" t="str">
        <f t="shared" si="54"/>
        <v/>
      </c>
      <c r="K74" s="353"/>
      <c r="L74" s="15" t="str">
        <f t="shared" si="55"/>
        <v/>
      </c>
      <c r="M74" s="353"/>
      <c r="N74" s="15" t="str">
        <f t="shared" si="56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7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58"/>
        <v>0</v>
      </c>
      <c r="BE74" s="213">
        <f t="shared" si="59"/>
        <v>0</v>
      </c>
      <c r="BF74" s="215">
        <f t="shared" si="60"/>
        <v>0</v>
      </c>
      <c r="BG74" s="215">
        <f t="shared" si="61"/>
        <v>0</v>
      </c>
      <c r="BH74" s="215" t="str">
        <f t="shared" si="62"/>
        <v/>
      </c>
      <c r="BI74" s="215" t="str">
        <f t="shared" si="63"/>
        <v/>
      </c>
      <c r="BJ74" s="215" t="str">
        <f t="shared" si="64"/>
        <v/>
      </c>
      <c r="BK74" s="215" t="str">
        <f t="shared" si="65"/>
        <v/>
      </c>
      <c r="BL74" s="215" t="str">
        <f t="shared" si="66"/>
        <v/>
      </c>
      <c r="BM74" s="216"/>
      <c r="BN74" s="214"/>
      <c r="BO74" s="215">
        <f t="shared" si="67"/>
        <v>0</v>
      </c>
      <c r="BP74" s="215">
        <f t="shared" si="68"/>
        <v>0</v>
      </c>
      <c r="BQ74" s="215" t="str">
        <f t="shared" si="74"/>
        <v>Kings Club Bayreuth Land 2</v>
      </c>
      <c r="BR74" s="214">
        <f t="shared" si="69"/>
        <v>2</v>
      </c>
      <c r="BS74" s="215">
        <f t="shared" si="70"/>
        <v>0</v>
      </c>
      <c r="BT74" s="215">
        <f>IF(COUNTIF(BH74:BL74,"&gt;0")&lt;Spielorte!$A$23,0,BE74/Spielorte!$A$23)</f>
        <v>0</v>
      </c>
      <c r="BU74" s="215">
        <f t="shared" si="71"/>
        <v>0</v>
      </c>
      <c r="BV74" s="214">
        <f t="shared" si="72"/>
        <v>0</v>
      </c>
    </row>
    <row r="75" spans="1:74" ht="17.100000000000001" customHeight="1" thickBot="1" x14ac:dyDescent="0.25">
      <c r="A75" s="375"/>
      <c r="B75" s="21" t="str">
        <f t="shared" si="73"/>
        <v/>
      </c>
      <c r="C75" s="22" t="str">
        <f t="shared" si="73"/>
        <v/>
      </c>
      <c r="D75" s="9" t="str">
        <f t="shared" si="73"/>
        <v/>
      </c>
      <c r="E75" s="354"/>
      <c r="F75" s="9" t="str">
        <f t="shared" si="52"/>
        <v/>
      </c>
      <c r="G75" s="354"/>
      <c r="H75" s="9" t="str">
        <f t="shared" si="53"/>
        <v/>
      </c>
      <c r="I75" s="354"/>
      <c r="J75" s="9" t="str">
        <f t="shared" si="54"/>
        <v/>
      </c>
      <c r="K75" s="354"/>
      <c r="L75" s="9" t="str">
        <f t="shared" si="55"/>
        <v/>
      </c>
      <c r="M75" s="354"/>
      <c r="N75" s="9" t="str">
        <f t="shared" si="56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7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58"/>
        <v>0</v>
      </c>
      <c r="BE75" s="213">
        <f t="shared" si="59"/>
        <v>0</v>
      </c>
      <c r="BF75" s="215">
        <f t="shared" si="60"/>
        <v>0</v>
      </c>
      <c r="BG75" s="215">
        <f t="shared" si="61"/>
        <v>0</v>
      </c>
      <c r="BH75" s="215" t="str">
        <f t="shared" si="62"/>
        <v/>
      </c>
      <c r="BI75" s="215" t="str">
        <f t="shared" si="63"/>
        <v/>
      </c>
      <c r="BJ75" s="215" t="str">
        <f t="shared" si="64"/>
        <v/>
      </c>
      <c r="BK75" s="215" t="str">
        <f t="shared" si="65"/>
        <v/>
      </c>
      <c r="BL75" s="215" t="str">
        <f t="shared" si="66"/>
        <v/>
      </c>
      <c r="BM75" s="216"/>
      <c r="BN75" s="214"/>
      <c r="BO75" s="215">
        <f t="shared" si="67"/>
        <v>0</v>
      </c>
      <c r="BP75" s="215">
        <f t="shared" si="68"/>
        <v>0</v>
      </c>
      <c r="BQ75" s="215" t="str">
        <f t="shared" si="74"/>
        <v>Kings Club Bayreuth Land 2</v>
      </c>
      <c r="BR75" s="214">
        <f t="shared" si="69"/>
        <v>2</v>
      </c>
      <c r="BS75" s="215">
        <f t="shared" si="70"/>
        <v>0</v>
      </c>
      <c r="BT75" s="215">
        <f>IF(COUNTIF(BH75:BL75,"&gt;0")&lt;Spielorte!$A$23,0,BE75/Spielorte!$A$23)</f>
        <v>0</v>
      </c>
      <c r="BU75" s="215">
        <f t="shared" si="71"/>
        <v>0</v>
      </c>
      <c r="BV75" s="214">
        <f t="shared" si="72"/>
        <v>0</v>
      </c>
    </row>
    <row r="76" spans="1:74" ht="17.100000000000001" customHeight="1" x14ac:dyDescent="0.2">
      <c r="A76" s="373" t="s">
        <v>11</v>
      </c>
      <c r="B76" s="17" t="str">
        <f>IF(S76=0,"",S76)</f>
        <v>Rühr, Wilfried</v>
      </c>
      <c r="C76" s="18">
        <f t="shared" si="73"/>
        <v>7136</v>
      </c>
      <c r="D76" s="14">
        <f t="shared" si="73"/>
        <v>200</v>
      </c>
      <c r="E76" s="352">
        <f>IF(V76="","",V76)</f>
        <v>1</v>
      </c>
      <c r="F76" s="14">
        <f t="shared" si="52"/>
        <v>178</v>
      </c>
      <c r="G76" s="352">
        <f>IF(X76="","",X76)</f>
        <v>1</v>
      </c>
      <c r="H76" s="14">
        <f t="shared" si="53"/>
        <v>162</v>
      </c>
      <c r="I76" s="352">
        <f>IF(Z76="","",Z76)</f>
        <v>0</v>
      </c>
      <c r="J76" s="14">
        <f t="shared" si="54"/>
        <v>200</v>
      </c>
      <c r="K76" s="352">
        <f>IF(AB76="","",AB76)</f>
        <v>1</v>
      </c>
      <c r="L76" s="14">
        <f t="shared" si="55"/>
        <v>192</v>
      </c>
      <c r="M76" s="352">
        <f>IF(AD76="","",AD76)</f>
        <v>1</v>
      </c>
      <c r="N76" s="14">
        <f t="shared" si="56"/>
        <v>932</v>
      </c>
      <c r="O76" s="352">
        <f>IF(AF76="","",AF76)</f>
        <v>4</v>
      </c>
      <c r="R76" s="355" t="s">
        <v>11</v>
      </c>
      <c r="S76" s="68" t="str">
        <f>IF(T76=0,"",VLOOKUP(T76,Starter!$A$1:$D$196,2,FALSE))</f>
        <v>Rühr, Wilfried</v>
      </c>
      <c r="T76" s="178">
        <v>7136</v>
      </c>
      <c r="U76" s="186">
        <v>200</v>
      </c>
      <c r="V76" s="95">
        <f>IF(SUM(U76:U78)+U88=0,0,IF(ABS(SUM(U76:U78))=U88,0.5,IF(ABS(SUM(U76:U78))&gt;U88,1,0)))</f>
        <v>1</v>
      </c>
      <c r="W76" s="186">
        <v>178</v>
      </c>
      <c r="X76" s="95">
        <f>IF(SUM(W76:W78)+W88=0,0,IF(ABS(SUM(W76:W78))=W88,0.5,IF(ABS(SUM(W76:W78))&gt;W88,1,0)))</f>
        <v>1</v>
      </c>
      <c r="Y76" s="186">
        <v>162</v>
      </c>
      <c r="Z76" s="95">
        <f>IF(SUM(Y76:Y78)+Y88=0,0,IF(ABS(SUM(Y76:Y78))=Y88,0.5,IF(ABS(SUM(Y76:Y78))&gt;Y88,1,0)))</f>
        <v>0</v>
      </c>
      <c r="AA76" s="186">
        <v>200</v>
      </c>
      <c r="AB76" s="95">
        <f>IF(SUM(AA76:AA78)+AA88=0,0,IF(ABS(SUM(AA76:AA78))=AA88,0.5,IF(ABS(SUM(AA76:AA78))&gt;AA88,1,0)))</f>
        <v>1</v>
      </c>
      <c r="AC76" s="186">
        <v>192</v>
      </c>
      <c r="AD76" s="95">
        <f>IF(SUM(AC76:AC78)+AC88=0,0,IF(ABS(SUM(AC76:AC78))=AC88,0.5,IF(ABS(SUM(AC76:AC78))&gt;AC88,1,0)))</f>
        <v>1</v>
      </c>
      <c r="AE76" s="195">
        <f t="shared" si="57"/>
        <v>932</v>
      </c>
      <c r="AF76" s="180">
        <f>SUM(V76+X76+Z76+AB76+AD76)</f>
        <v>4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58"/>
        <v>7136</v>
      </c>
      <c r="BE76" s="213">
        <f t="shared" si="59"/>
        <v>932</v>
      </c>
      <c r="BF76" s="215">
        <f t="shared" si="60"/>
        <v>5</v>
      </c>
      <c r="BG76" s="215">
        <f t="shared" si="61"/>
        <v>5</v>
      </c>
      <c r="BH76" s="215">
        <f t="shared" si="62"/>
        <v>200</v>
      </c>
      <c r="BI76" s="215">
        <f t="shared" si="63"/>
        <v>178</v>
      </c>
      <c r="BJ76" s="215">
        <f t="shared" si="64"/>
        <v>162</v>
      </c>
      <c r="BK76" s="215">
        <f t="shared" si="65"/>
        <v>200</v>
      </c>
      <c r="BL76" s="215">
        <f t="shared" si="66"/>
        <v>192</v>
      </c>
      <c r="BM76" s="216"/>
      <c r="BN76" s="214"/>
      <c r="BO76" s="215">
        <f t="shared" si="67"/>
        <v>200</v>
      </c>
      <c r="BP76" s="215">
        <f t="shared" si="68"/>
        <v>0</v>
      </c>
      <c r="BQ76" s="215" t="str">
        <f t="shared" si="74"/>
        <v>Kings Club Bayreuth Land 2</v>
      </c>
      <c r="BR76" s="214">
        <f t="shared" si="69"/>
        <v>2</v>
      </c>
      <c r="BS76" s="215">
        <f t="shared" si="70"/>
        <v>932</v>
      </c>
      <c r="BT76" s="215">
        <f>IF(COUNTIF(BH76:BL76,"&gt;0")&lt;Spielorte!$A$23,0,BE76/Spielorte!$A$23)</f>
        <v>186.4</v>
      </c>
      <c r="BU76" s="215">
        <f t="shared" si="71"/>
        <v>0</v>
      </c>
      <c r="BV76" s="214">
        <f t="shared" si="72"/>
        <v>0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3"/>
        <v/>
      </c>
      <c r="D77" s="15" t="str">
        <f t="shared" si="73"/>
        <v/>
      </c>
      <c r="E77" s="353"/>
      <c r="F77" s="15" t="str">
        <f t="shared" si="52"/>
        <v/>
      </c>
      <c r="G77" s="353"/>
      <c r="H77" s="15" t="str">
        <f t="shared" si="53"/>
        <v/>
      </c>
      <c r="I77" s="353"/>
      <c r="J77" s="15" t="str">
        <f t="shared" si="54"/>
        <v/>
      </c>
      <c r="K77" s="353"/>
      <c r="L77" s="15" t="str">
        <f t="shared" si="55"/>
        <v/>
      </c>
      <c r="M77" s="353"/>
      <c r="N77" s="15" t="str">
        <f t="shared" si="56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7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58"/>
        <v>0</v>
      </c>
      <c r="BE77" s="213">
        <f t="shared" si="59"/>
        <v>0</v>
      </c>
      <c r="BF77" s="215">
        <f t="shared" si="60"/>
        <v>0</v>
      </c>
      <c r="BG77" s="215">
        <f t="shared" si="61"/>
        <v>0</v>
      </c>
      <c r="BH77" s="215" t="str">
        <f t="shared" si="62"/>
        <v/>
      </c>
      <c r="BI77" s="215" t="str">
        <f t="shared" si="63"/>
        <v/>
      </c>
      <c r="BJ77" s="215" t="str">
        <f t="shared" si="64"/>
        <v/>
      </c>
      <c r="BK77" s="215" t="str">
        <f t="shared" si="65"/>
        <v/>
      </c>
      <c r="BL77" s="215" t="str">
        <f t="shared" si="66"/>
        <v/>
      </c>
      <c r="BM77" s="216"/>
      <c r="BN77" s="214"/>
      <c r="BO77" s="215">
        <f t="shared" si="67"/>
        <v>0</v>
      </c>
      <c r="BP77" s="215">
        <f t="shared" si="68"/>
        <v>0</v>
      </c>
      <c r="BQ77" s="215" t="str">
        <f t="shared" si="74"/>
        <v>Kings Club Bayreuth Land 2</v>
      </c>
      <c r="BR77" s="214">
        <f t="shared" si="69"/>
        <v>2</v>
      </c>
      <c r="BS77" s="215">
        <f t="shared" si="70"/>
        <v>0</v>
      </c>
      <c r="BT77" s="215">
        <f>IF(COUNTIF(BH77:BL77,"&gt;0")&lt;Spielorte!$A$23,0,BE77/Spielorte!$A$23)</f>
        <v>0</v>
      </c>
      <c r="BU77" s="215">
        <f t="shared" si="71"/>
        <v>0</v>
      </c>
      <c r="BV77" s="214">
        <f t="shared" si="72"/>
        <v>0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3"/>
        <v/>
      </c>
      <c r="D78" s="9" t="str">
        <f t="shared" si="73"/>
        <v/>
      </c>
      <c r="E78" s="354"/>
      <c r="F78" s="9" t="str">
        <f t="shared" si="52"/>
        <v/>
      </c>
      <c r="G78" s="354"/>
      <c r="H78" s="9" t="str">
        <f t="shared" si="53"/>
        <v/>
      </c>
      <c r="I78" s="354"/>
      <c r="J78" s="9" t="str">
        <f t="shared" si="54"/>
        <v/>
      </c>
      <c r="K78" s="354"/>
      <c r="L78" s="9" t="str">
        <f t="shared" si="55"/>
        <v/>
      </c>
      <c r="M78" s="354"/>
      <c r="N78" s="9" t="str">
        <f t="shared" si="56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7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58"/>
        <v>0</v>
      </c>
      <c r="BE78" s="213">
        <f t="shared" si="59"/>
        <v>0</v>
      </c>
      <c r="BF78" s="215">
        <f t="shared" si="60"/>
        <v>0</v>
      </c>
      <c r="BG78" s="215">
        <f t="shared" si="61"/>
        <v>0</v>
      </c>
      <c r="BH78" s="215" t="str">
        <f t="shared" si="62"/>
        <v/>
      </c>
      <c r="BI78" s="215" t="str">
        <f t="shared" si="63"/>
        <v/>
      </c>
      <c r="BJ78" s="215" t="str">
        <f t="shared" si="64"/>
        <v/>
      </c>
      <c r="BK78" s="215" t="str">
        <f t="shared" si="65"/>
        <v/>
      </c>
      <c r="BL78" s="215" t="str">
        <f t="shared" si="66"/>
        <v/>
      </c>
      <c r="BM78" s="216"/>
      <c r="BN78" s="214"/>
      <c r="BO78" s="215">
        <f t="shared" si="67"/>
        <v>0</v>
      </c>
      <c r="BP78" s="215">
        <f t="shared" si="68"/>
        <v>0</v>
      </c>
      <c r="BQ78" s="215" t="str">
        <f t="shared" si="74"/>
        <v>Kings Club Bayreuth Land 2</v>
      </c>
      <c r="BR78" s="214">
        <f t="shared" si="69"/>
        <v>2</v>
      </c>
      <c r="BS78" s="215">
        <f t="shared" si="70"/>
        <v>0</v>
      </c>
      <c r="BT78" s="215">
        <f>IF(COUNTIF(BH78:BL78,"&gt;0")&lt;Spielorte!$A$23,0,BE78/Spielorte!$A$23)</f>
        <v>0</v>
      </c>
      <c r="BU78" s="215">
        <f t="shared" si="71"/>
        <v>0</v>
      </c>
      <c r="BV78" s="214">
        <f t="shared" si="72"/>
        <v>0</v>
      </c>
    </row>
    <row r="79" spans="1:74" ht="27.75" customHeight="1" thickBot="1" x14ac:dyDescent="0.25">
      <c r="B79" s="11" t="str">
        <f>IF(S79=0,"",S79)</f>
        <v>Gesamt</v>
      </c>
      <c r="C79" s="26" t="str">
        <f t="shared" si="73"/>
        <v/>
      </c>
      <c r="D79" s="16">
        <f t="shared" si="73"/>
        <v>640</v>
      </c>
      <c r="E79" s="12">
        <f>IF(V79="","",V79)</f>
        <v>0</v>
      </c>
      <c r="F79" s="16">
        <f t="shared" si="52"/>
        <v>727</v>
      </c>
      <c r="G79" s="12">
        <f>IF(X79="","",X79)</f>
        <v>0</v>
      </c>
      <c r="H79" s="16">
        <f t="shared" si="53"/>
        <v>670</v>
      </c>
      <c r="I79" s="12">
        <f>IF(Z79="","",Z79)</f>
        <v>0</v>
      </c>
      <c r="J79" s="16">
        <f t="shared" si="54"/>
        <v>630</v>
      </c>
      <c r="K79" s="12">
        <f>IF(AB79="","",AB79)</f>
        <v>0</v>
      </c>
      <c r="L79" s="16">
        <f t="shared" si="55"/>
        <v>690</v>
      </c>
      <c r="M79" s="12">
        <f>IF(AD79="","",AD79)</f>
        <v>0</v>
      </c>
      <c r="N79" s="16">
        <f t="shared" si="56"/>
        <v>3357</v>
      </c>
      <c r="O79" s="12">
        <f>IF(AF79="","",AF79)</f>
        <v>0</v>
      </c>
      <c r="S79" s="11" t="s">
        <v>1791</v>
      </c>
      <c r="T79" s="71"/>
      <c r="U79" s="188">
        <f>ABS(SUM(U67:U69))+ABS(SUM(U70:U72))+ABS(SUM(U73:U75))+ABS(SUM(U76:U78))</f>
        <v>640</v>
      </c>
      <c r="V79" s="98">
        <f>IF(U79+U89=0,0,IF(U79=U89,1,IF(U79&gt;U89,2,0)))</f>
        <v>0</v>
      </c>
      <c r="W79" s="188">
        <f>ABS(SUM(W67:W69))+ABS(SUM(W70:W72))+ABS(SUM(W73:W75))+ABS(SUM(W76:W78))</f>
        <v>727</v>
      </c>
      <c r="X79" s="98">
        <f>IF(W79+W89=0,0,IF(W79=W89,1,IF(W79&gt;W89,2,0)))</f>
        <v>0</v>
      </c>
      <c r="Y79" s="188">
        <f>ABS(SUM(Y67:Y69))+ABS(SUM(Y70:Y72))+ABS(SUM(Y73:Y75))+ABS(SUM(Y76:Y78))</f>
        <v>670</v>
      </c>
      <c r="Z79" s="98">
        <f>IF(Y79+Y89=0,0,IF(Y79=Y89,1,IF(Y79&gt;Y89,2,0)))</f>
        <v>0</v>
      </c>
      <c r="AA79" s="188">
        <f>ABS(SUM(AA67:AA69))+ABS(SUM(AA70:AA72))+ABS(SUM(AA73:AA75))+ABS(SUM(AA76:AA78))</f>
        <v>630</v>
      </c>
      <c r="AB79" s="98">
        <f>IF(AA79+AA89=0,0,IF(AA79=AA89,1,IF(AA79&gt;AA89,2,0)))</f>
        <v>0</v>
      </c>
      <c r="AC79" s="188">
        <f>ABS(SUM(AC67:AC69))+ABS(SUM(AC70:AC72))+ABS(SUM(AC73:AC75))+ABS(SUM(AC76:AC78))</f>
        <v>690</v>
      </c>
      <c r="AD79" s="98">
        <f>IF(AC79+AC89=0,0,IF(AC79=AC89,1,IF(AC79&gt;AC89,2,0)))</f>
        <v>0</v>
      </c>
      <c r="AE79" s="198">
        <f>SUM(U79+W79+Y79+AA79+AC79)</f>
        <v>3357</v>
      </c>
      <c r="AF79" s="12">
        <f>SUM(V79+X79+Z79+AB79+AD79)</f>
        <v>0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3"/>
        <v/>
      </c>
      <c r="D80" s="1" t="str">
        <f t="shared" si="73"/>
        <v/>
      </c>
      <c r="E80" s="23">
        <f>IF(V80="","",V80)</f>
        <v>1</v>
      </c>
      <c r="F80" s="1" t="str">
        <f t="shared" si="52"/>
        <v/>
      </c>
      <c r="G80" s="23">
        <f>IF(X80="","",X80)</f>
        <v>2</v>
      </c>
      <c r="H80" s="1" t="str">
        <f t="shared" si="53"/>
        <v/>
      </c>
      <c r="I80" s="23">
        <f>IF(Z80="","",Z80)</f>
        <v>1</v>
      </c>
      <c r="J80" s="1" t="str">
        <f t="shared" si="54"/>
        <v/>
      </c>
      <c r="K80" s="23">
        <f>IF(AB80="","",AB80)</f>
        <v>2</v>
      </c>
      <c r="L80" s="1" t="str">
        <f t="shared" si="55"/>
        <v/>
      </c>
      <c r="M80" s="23">
        <f>IF(AD80="","",AD80)</f>
        <v>3</v>
      </c>
      <c r="N80" s="1" t="str">
        <f t="shared" si="56"/>
        <v/>
      </c>
      <c r="O80" s="23">
        <f>IF(AF80="","",AF80)</f>
        <v>9</v>
      </c>
      <c r="S80" s="8" t="s">
        <v>1802</v>
      </c>
      <c r="T80" s="1"/>
      <c r="U80" s="1"/>
      <c r="V80" s="72">
        <f>SUM(V67:V79)</f>
        <v>1</v>
      </c>
      <c r="W80" s="1"/>
      <c r="X80" s="72">
        <f>SUM(X67:X79)</f>
        <v>2</v>
      </c>
      <c r="Y80" s="1"/>
      <c r="Z80" s="72">
        <f>SUM(Z67:Z79)</f>
        <v>1</v>
      </c>
      <c r="AA80" s="1"/>
      <c r="AB80" s="72">
        <f>SUM(AB67:AB79)</f>
        <v>2</v>
      </c>
      <c r="AC80" s="1"/>
      <c r="AD80" s="72">
        <f>SUM(AD67:AD79)</f>
        <v>3</v>
      </c>
      <c r="AE80" s="1"/>
      <c r="AF80" s="72">
        <f>SUM(AF67:AF79)</f>
        <v>9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9</v>
      </c>
      <c r="BB80" s="213">
        <f>AE79</f>
        <v>3357</v>
      </c>
      <c r="BC80" s="214">
        <f>+S62</f>
        <v>3</v>
      </c>
      <c r="BF80" s="215">
        <f>SUM(BF61:BF79)</f>
        <v>20</v>
      </c>
      <c r="BM80" s="212">
        <f>+BB80/1000000+BA80</f>
        <v>9.0033569999999994</v>
      </c>
      <c r="BN80" s="214">
        <f>RANK(BM80,BM:BM)</f>
        <v>6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K84" si="75">IF(S82=0,"",S82)</f>
        <v>Gegner-Nr.:</v>
      </c>
      <c r="C82" s="5" t="str">
        <f t="shared" si="75"/>
        <v>&gt;&gt;&gt;&gt;</v>
      </c>
      <c r="D82" s="350">
        <f t="shared" si="75"/>
        <v>1</v>
      </c>
      <c r="E82" s="350" t="str">
        <f t="shared" si="75"/>
        <v/>
      </c>
      <c r="F82" s="350">
        <f t="shared" si="75"/>
        <v>6</v>
      </c>
      <c r="G82" s="350" t="str">
        <f t="shared" si="75"/>
        <v/>
      </c>
      <c r="H82" s="350">
        <f t="shared" si="75"/>
        <v>5</v>
      </c>
      <c r="I82" s="350" t="str">
        <f t="shared" si="75"/>
        <v/>
      </c>
      <c r="J82" s="350">
        <f t="shared" si="75"/>
        <v>4</v>
      </c>
      <c r="K82" s="350" t="str">
        <f t="shared" si="75"/>
        <v/>
      </c>
      <c r="L82" s="350">
        <f t="shared" ref="L82:M84" si="76">IF(AC82=0,"",AC82)</f>
        <v>2</v>
      </c>
      <c r="M82" s="350" t="str">
        <f t="shared" si="76"/>
        <v/>
      </c>
      <c r="N82" s="351"/>
      <c r="O82" s="351"/>
      <c r="S82" s="13" t="s">
        <v>1789</v>
      </c>
      <c r="T82" s="5" t="s">
        <v>1790</v>
      </c>
      <c r="U82" s="369">
        <f>VLOOKUP($S62,Schlüssel!$A$5:$DG$10,63)</f>
        <v>1</v>
      </c>
      <c r="V82" s="370"/>
      <c r="W82" s="369">
        <f>VLOOKUP($S62,Schlüssel!$A$5:$EK$10,64)</f>
        <v>6</v>
      </c>
      <c r="X82" s="370"/>
      <c r="Y82" s="369">
        <f>VLOOKUP($S62,Schlüssel!$A$5:$EK$10,65)</f>
        <v>5</v>
      </c>
      <c r="Z82" s="370"/>
      <c r="AA82" s="369">
        <f>VLOOKUP($S62,Schlüssel!$A$5:$EK$10,66)</f>
        <v>4</v>
      </c>
      <c r="AB82" s="370"/>
      <c r="AC82" s="369">
        <f>VLOOKUP($S62,Schlüssel!$A$5:$EK$10,67)</f>
        <v>2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si="75"/>
        <v/>
      </c>
      <c r="C83" s="1" t="str">
        <f t="shared" si="75"/>
        <v/>
      </c>
      <c r="D83" s="347" t="str">
        <f t="shared" si="75"/>
        <v>Castra Regina Regensburg 3</v>
      </c>
      <c r="E83" s="348" t="str">
        <f t="shared" si="75"/>
        <v/>
      </c>
      <c r="F83" s="347" t="str">
        <f t="shared" si="75"/>
        <v>Adler Nürnberg 1</v>
      </c>
      <c r="G83" s="348" t="str">
        <f t="shared" si="75"/>
        <v/>
      </c>
      <c r="H83" s="347" t="str">
        <f t="shared" si="75"/>
        <v>Castra Regina Regensburg 2</v>
      </c>
      <c r="I83" s="348" t="str">
        <f t="shared" si="75"/>
        <v/>
      </c>
      <c r="J83" s="347" t="str">
        <f t="shared" si="75"/>
        <v>Kings Club Bayreuth Land 3</v>
      </c>
      <c r="K83" s="348" t="str">
        <f t="shared" si="75"/>
        <v/>
      </c>
      <c r="L83" s="347" t="str">
        <f t="shared" si="76"/>
        <v>Herzogenaurach 1</v>
      </c>
      <c r="M83" s="348" t="str">
        <f t="shared" si="76"/>
        <v/>
      </c>
      <c r="N83" s="349"/>
      <c r="O83" s="349"/>
      <c r="S83" s="4"/>
      <c r="T83" s="1"/>
      <c r="U83" s="347" t="str">
        <f>VLOOKUP(U82,Schlüssel!$A$5:$K$10,2)</f>
        <v>Castra Regina Regensburg 3</v>
      </c>
      <c r="V83" s="348"/>
      <c r="W83" s="347" t="str">
        <f>VLOOKUP(W82,Schlüssel!$A$5:$K$10,2)</f>
        <v>Adler Nürnberg 1</v>
      </c>
      <c r="X83" s="348"/>
      <c r="Y83" s="347" t="str">
        <f>VLOOKUP(Y82,Schlüssel!$A$5:$K$10,2)</f>
        <v>Castra Regina Regensburg 2</v>
      </c>
      <c r="Z83" s="348"/>
      <c r="AA83" s="347" t="str">
        <f>VLOOKUP(AA82,Schlüssel!$A$5:$K$10,2)</f>
        <v>Kings Club Bayreuth Land 3</v>
      </c>
      <c r="AB83" s="348"/>
      <c r="AC83" s="347" t="str">
        <f>VLOOKUP(AC82,Schlüssel!$A$5:$K$10,2)</f>
        <v>Herzogenaurach 1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5"/>
        <v/>
      </c>
      <c r="C84" s="1" t="str">
        <f t="shared" si="75"/>
        <v/>
      </c>
      <c r="D84" s="346" t="str">
        <f t="shared" si="75"/>
        <v/>
      </c>
      <c r="E84" s="346" t="str">
        <f t="shared" si="75"/>
        <v/>
      </c>
      <c r="F84" s="346" t="str">
        <f t="shared" si="75"/>
        <v/>
      </c>
      <c r="G84" s="346" t="str">
        <f t="shared" si="75"/>
        <v/>
      </c>
      <c r="H84" s="346" t="str">
        <f t="shared" si="75"/>
        <v/>
      </c>
      <c r="I84" s="346" t="str">
        <f t="shared" si="75"/>
        <v/>
      </c>
      <c r="J84" s="346" t="str">
        <f t="shared" si="75"/>
        <v/>
      </c>
      <c r="K84" s="346" t="str">
        <f t="shared" si="75"/>
        <v/>
      </c>
      <c r="L84" s="346" t="str">
        <f t="shared" si="76"/>
        <v/>
      </c>
      <c r="M84" s="346" t="str">
        <f t="shared" si="76"/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ref="B85:C89" si="77">IF(S85=0,"",S85)</f>
        <v>Spieler 1</v>
      </c>
      <c r="C85" s="372" t="str">
        <f t="shared" si="77"/>
        <v/>
      </c>
      <c r="D85" s="344">
        <f>IF(U85=301,"",U85)</f>
        <v>216</v>
      </c>
      <c r="E85" s="344" t="str">
        <f>IF(V85=0,"",V85)</f>
        <v/>
      </c>
      <c r="F85" s="344">
        <f>IF(W85=301,"",W85)</f>
        <v>181</v>
      </c>
      <c r="G85" s="344" t="str">
        <f>IF(X85=0,"",X85)</f>
        <v/>
      </c>
      <c r="H85" s="344">
        <f>IF(Y85=301,"",Y85)</f>
        <v>184</v>
      </c>
      <c r="I85" s="344" t="str">
        <f>IF(Z85=0,"",Z85)</f>
        <v/>
      </c>
      <c r="J85" s="344">
        <f>IF(AA85=301,"",AA85)</f>
        <v>172</v>
      </c>
      <c r="K85" s="344" t="str">
        <f>IF(AB85=0,"",AB85)</f>
        <v/>
      </c>
      <c r="L85" s="344">
        <f>IF(AC85=301,"",AC85)</f>
        <v>175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216</v>
      </c>
      <c r="V85" s="368"/>
      <c r="W85" s="367">
        <f>ABS(INDEX(W:W,MATCH(W82,$S:$S,0)+5)+INDEX(W:W,MATCH(W82,$S:$S,0)+6)+INDEX(W:W,MATCH(W82,$S:$S,0)+7))</f>
        <v>181</v>
      </c>
      <c r="X85" s="368"/>
      <c r="Y85" s="367">
        <f>ABS(INDEX(Y:Y,MATCH(Y82,$S:$S,0)+5)+INDEX(Y:Y,MATCH(Y82,$S:$S,0)+6)+INDEX(Y:Y,MATCH(Y82,$S:$S,0)+7))</f>
        <v>184</v>
      </c>
      <c r="Z85" s="368"/>
      <c r="AA85" s="367">
        <f>ABS(INDEX(AA:AA,MATCH(AA82,$S:$S,0)+5)+INDEX(AA:AA,MATCH(AA82,$S:$S,0)+6)+INDEX(AA:AA,MATCH(AA82,$S:$S,0)+7))</f>
        <v>172</v>
      </c>
      <c r="AB85" s="368"/>
      <c r="AC85" s="367">
        <f>ABS(INDEX(AC:AC,MATCH(AC82,$S:$S,0)+5)+INDEX(AC:AC,MATCH(AC82,$S:$S,0)+6)+INDEX(AC:AC,MATCH(AC82,$S:$S,0)+7))</f>
        <v>175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7"/>
        <v>Spieler 2</v>
      </c>
      <c r="C86" s="372" t="str">
        <f t="shared" si="77"/>
        <v/>
      </c>
      <c r="D86" s="344">
        <f>IF(U86=301,"",U86)</f>
        <v>188</v>
      </c>
      <c r="E86" s="344" t="str">
        <f>IF(V86=0,"",V86)</f>
        <v/>
      </c>
      <c r="F86" s="344">
        <f>IF(W86=301,"",W86)</f>
        <v>244</v>
      </c>
      <c r="G86" s="344" t="str">
        <f>IF(X86=0,"",X86)</f>
        <v/>
      </c>
      <c r="H86" s="344">
        <f>IF(Y86=301,"",Y86)</f>
        <v>202</v>
      </c>
      <c r="I86" s="344" t="str">
        <f>IF(Z86=0,"",Z86)</f>
        <v/>
      </c>
      <c r="J86" s="344">
        <f>IF(AA86=301,"",AA86)</f>
        <v>156</v>
      </c>
      <c r="K86" s="344" t="str">
        <f>IF(AB86=0,"",AB86)</f>
        <v/>
      </c>
      <c r="L86" s="344">
        <f>IF(AC86=301,"",AC86)</f>
        <v>217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188</v>
      </c>
      <c r="V86" s="366"/>
      <c r="W86" s="365">
        <f>ABS(INDEX(W:W,MATCH(W82,$S:$S,0)+8)+INDEX(W:W,MATCH(W82,$S:$S,0)+9)+INDEX(W:W,MATCH(W82,$S:$S,0)+10))</f>
        <v>244</v>
      </c>
      <c r="X86" s="366"/>
      <c r="Y86" s="365">
        <f>ABS(INDEX(Y:Y,MATCH(Y82,$S:$S,0)+8)+INDEX(Y:Y,MATCH(Y82,$S:$S,0)+9)+INDEX(Y:Y,MATCH(Y82,$S:$S,0)+10))</f>
        <v>202</v>
      </c>
      <c r="Z86" s="366"/>
      <c r="AA86" s="365">
        <f>ABS(INDEX(AA:AA,MATCH(AA82,$S:$S,0)+8)+INDEX(AA:AA,MATCH(AA82,$S:$S,0)+9)+INDEX(AA:AA,MATCH(AA82,$S:$S,0)+10))</f>
        <v>156</v>
      </c>
      <c r="AB86" s="366"/>
      <c r="AC86" s="365">
        <f>ABS(INDEX(AC:AC,MATCH(AC82,$S:$S,0)+8)+INDEX(AC:AC,MATCH(AC82,$S:$S,0)+9)+INDEX(AC:AC,MATCH(AC82,$S:$S,0)+10))</f>
        <v>217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7"/>
        <v>Spieler 3</v>
      </c>
      <c r="C87" s="372" t="str">
        <f t="shared" si="77"/>
        <v/>
      </c>
      <c r="D87" s="344">
        <f>IF(U87=301,"",U87)</f>
        <v>176</v>
      </c>
      <c r="E87" s="344" t="str">
        <f>IF(V87=0,"",V87)</f>
        <v/>
      </c>
      <c r="F87" s="344">
        <f>IF(W87=301,"",W87)</f>
        <v>179</v>
      </c>
      <c r="G87" s="344" t="str">
        <f>IF(X87=0,"",X87)</f>
        <v/>
      </c>
      <c r="H87" s="344">
        <f>IF(Y87=301,"",Y87)</f>
        <v>207</v>
      </c>
      <c r="I87" s="344" t="str">
        <f>IF(Z87=0,"",Z87)</f>
        <v/>
      </c>
      <c r="J87" s="344">
        <f>IF(AA87=301,"",AA87)</f>
        <v>185</v>
      </c>
      <c r="K87" s="344" t="str">
        <f>IF(AB87=0,"",AB87)</f>
        <v/>
      </c>
      <c r="L87" s="344">
        <f>IF(AC87=301,"",AC87)</f>
        <v>150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176</v>
      </c>
      <c r="V87" s="366"/>
      <c r="W87" s="365">
        <f>ABS(INDEX(W:W,MATCH(W82,$S:$S,0)+11)+INDEX(W:W,MATCH(W82,$S:$S,0)+12)+INDEX(W:W,MATCH(W82,$S:$S,0)+13))</f>
        <v>179</v>
      </c>
      <c r="X87" s="366"/>
      <c r="Y87" s="365">
        <f>ABS(INDEX(Y:Y,MATCH(Y82,$S:$S,0)+11)+INDEX(Y:Y,MATCH(Y82,$S:$S,0)+12)+INDEX(Y:Y,MATCH(Y82,$S:$S,0)+13))</f>
        <v>207</v>
      </c>
      <c r="Z87" s="366"/>
      <c r="AA87" s="365">
        <f>ABS(INDEX(AA:AA,MATCH(AA82,$S:$S,0)+11)+INDEX(AA:AA,MATCH(AA82,$S:$S,0)+12)+INDEX(AA:AA,MATCH(AA82,$S:$S,0)+13))</f>
        <v>185</v>
      </c>
      <c r="AB87" s="366"/>
      <c r="AC87" s="365">
        <f>ABS(INDEX(AC:AC,MATCH(AC82,$S:$S,0)+11)+INDEX(AC:AC,MATCH(AC82,$S:$S,0)+12)+INDEX(AC:AC,MATCH(AC82,$S:$S,0)+13))</f>
        <v>150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7"/>
        <v>Spieler 4</v>
      </c>
      <c r="C88" s="372" t="str">
        <f t="shared" si="77"/>
        <v/>
      </c>
      <c r="D88" s="344">
        <f>IF(U88=301,"",U88)</f>
        <v>180</v>
      </c>
      <c r="E88" s="344" t="str">
        <f>IF(V88=0,"",V88)</f>
        <v/>
      </c>
      <c r="F88" s="344">
        <f>IF(W88=301,"",W88)</f>
        <v>137</v>
      </c>
      <c r="G88" s="344" t="str">
        <f>IF(X88=0,"",X88)</f>
        <v/>
      </c>
      <c r="H88" s="344">
        <f>IF(Y88=301,"",Y88)</f>
        <v>213</v>
      </c>
      <c r="I88" s="344" t="str">
        <f>IF(Z88=0,"",Z88)</f>
        <v/>
      </c>
      <c r="J88" s="344">
        <f>IF(AA88=301,"",AA88)</f>
        <v>147</v>
      </c>
      <c r="K88" s="344" t="str">
        <f>IF(AB88=0,"",AB88)</f>
        <v/>
      </c>
      <c r="L88" s="344">
        <f>IF(AC88=301,"",AC88)</f>
        <v>150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180</v>
      </c>
      <c r="V88" s="366"/>
      <c r="W88" s="365">
        <f>ABS(INDEX(W:W,MATCH(W82,$S:$S,0)+14)+INDEX(W:W,MATCH(W82,$S:$S,0)+15)+INDEX(W:W,MATCH(W82,$S:$S,0)+16))</f>
        <v>137</v>
      </c>
      <c r="X88" s="366"/>
      <c r="Y88" s="365">
        <f>ABS(INDEX(Y:Y,MATCH(Y82,$S:$S,0)+14)+INDEX(Y:Y,MATCH(Y82,$S:$S,0)+15)+INDEX(Y:Y,MATCH(Y82,$S:$S,0)+16))</f>
        <v>213</v>
      </c>
      <c r="Z88" s="366"/>
      <c r="AA88" s="365">
        <f>ABS(INDEX(AA:AA,MATCH(AA82,$S:$S,0)+14)+INDEX(AA:AA,MATCH(AA82,$S:$S,0)+15)+INDEX(AA:AA,MATCH(AA82,$S:$S,0)+16))</f>
        <v>147</v>
      </c>
      <c r="AB88" s="366"/>
      <c r="AC88" s="365">
        <f>ABS(INDEX(AC:AC,MATCH(AC82,$S:$S,0)+14)+INDEX(AC:AC,MATCH(AC82,$S:$S,0)+15)+INDEX(AC:AC,MATCH(AC82,$S:$S,0)+16))</f>
        <v>150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7"/>
        <v>Gesamt</v>
      </c>
      <c r="C89" s="360" t="str">
        <f t="shared" si="77"/>
        <v/>
      </c>
      <c r="D89" s="343">
        <f>IF(U89=1505,"",U89)</f>
        <v>760</v>
      </c>
      <c r="E89" s="343" t="str">
        <f>IF(V89=0,"",V89)</f>
        <v/>
      </c>
      <c r="F89" s="343">
        <f>IF(W89=1505,"",W89)</f>
        <v>741</v>
      </c>
      <c r="G89" s="343" t="str">
        <f>IF(X89=0,"",X89)</f>
        <v/>
      </c>
      <c r="H89" s="343">
        <f>IF(Y89=1505,"",Y89)</f>
        <v>806</v>
      </c>
      <c r="I89" s="343" t="str">
        <f>IF(Z89=0,"",Z89)</f>
        <v/>
      </c>
      <c r="J89" s="343">
        <f>IF(AA89=1505,"",AA89)</f>
        <v>660</v>
      </c>
      <c r="K89" s="343" t="str">
        <f>IF(AB89=0,"",AB89)</f>
        <v/>
      </c>
      <c r="L89" s="343">
        <f>IF(AC89=1505,"",AC89)</f>
        <v>692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760</v>
      </c>
      <c r="V89" s="360"/>
      <c r="W89" s="359">
        <f>SUM(W85:W88)</f>
        <v>741</v>
      </c>
      <c r="X89" s="360"/>
      <c r="Y89" s="359">
        <f>SUM(Y85:Y88)</f>
        <v>806</v>
      </c>
      <c r="Z89" s="360"/>
      <c r="AA89" s="359">
        <f>SUM(AA85:AA88)</f>
        <v>660</v>
      </c>
      <c r="AB89" s="360"/>
      <c r="AC89" s="359">
        <f>SUM(AC85:AC88)</f>
        <v>692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 t="str">
        <f>Schlüssel!$BU$1</f>
        <v>02.03.</v>
      </c>
      <c r="N91" s="376"/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Schlüssel!$BU$1</f>
        <v>02.03.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">
        <v>1786</v>
      </c>
      <c r="E92" s="84" t="str">
        <f>V92</f>
        <v>Regensburg Super Bowl</v>
      </c>
      <c r="F92" s="77"/>
      <c r="G92" s="77"/>
      <c r="H92" s="77"/>
      <c r="I92" s="77"/>
      <c r="J92" s="77"/>
      <c r="K92" s="77"/>
      <c r="L92" s="29" t="str">
        <f>AC92</f>
        <v>Spieltag:</v>
      </c>
      <c r="M92" s="86">
        <f>AD92</f>
        <v>4</v>
      </c>
      <c r="N92" s="28"/>
      <c r="R92" s="49"/>
      <c r="S92" s="50">
        <v>4</v>
      </c>
      <c r="U92" s="30" t="s">
        <v>1786</v>
      </c>
      <c r="V92" s="84" t="str">
        <f>Schlüssel!$BK$2</f>
        <v>Regensburg Super Bowl</v>
      </c>
      <c r="X92" s="77"/>
      <c r="Y92" s="77"/>
      <c r="Z92" s="77"/>
      <c r="AA92" s="77"/>
      <c r="AB92" s="77"/>
      <c r="AC92" s="29" t="s">
        <v>1784</v>
      </c>
      <c r="AD92" s="34">
        <v>4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VLOOKUP(S92,Schlüssel!$A$5:$DZ$10,73)</f>
        <v>11</v>
      </c>
      <c r="W94" s="193" t="s">
        <v>10</v>
      </c>
      <c r="X94" s="191">
        <f>VLOOKUP(S92,Schlüssel!$A$5:$DZ$10,74)</f>
        <v>16</v>
      </c>
      <c r="Y94" s="193" t="s">
        <v>10</v>
      </c>
      <c r="Z94" s="191">
        <f>VLOOKUP(S92,Schlüssel!$A$5:$DZ$10,75)</f>
        <v>14</v>
      </c>
      <c r="AA94" s="193" t="s">
        <v>10</v>
      </c>
      <c r="AB94" s="191">
        <f>VLOOKUP(S92,Schlüssel!$A$5:$DZ$10,76)</f>
        <v>12</v>
      </c>
      <c r="AC94" s="193" t="s">
        <v>10</v>
      </c>
      <c r="AD94" s="192">
        <f>VLOOKUP(S92,Schlüssel!$A$5:$DZ$10,77)</f>
        <v>15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>Sommerer, Stefan</v>
      </c>
      <c r="C97" s="18">
        <f>IF(T97=0,"",T97)</f>
        <v>38823</v>
      </c>
      <c r="D97" s="14">
        <f>IF(U97=0,"",U97)</f>
        <v>185</v>
      </c>
      <c r="E97" s="352">
        <f>IF(V97="","",V97)</f>
        <v>1</v>
      </c>
      <c r="F97" s="14">
        <f t="shared" ref="F97:F110" si="78">IF(W97=0,"",W97)</f>
        <v>115</v>
      </c>
      <c r="G97" s="352">
        <f>IF(X97="","",X97)</f>
        <v>0</v>
      </c>
      <c r="H97" s="14">
        <f t="shared" ref="H97:H110" si="79">IF(Y97=0,"",Y97)</f>
        <v>160</v>
      </c>
      <c r="I97" s="352">
        <f>IF(Z97="","",Z97)</f>
        <v>0</v>
      </c>
      <c r="J97" s="14">
        <f t="shared" ref="J97:J110" si="80">IF(AA97=0,"",AA97)</f>
        <v>172</v>
      </c>
      <c r="K97" s="352">
        <f>IF(AB97="","",AB97)</f>
        <v>1</v>
      </c>
      <c r="L97" s="14">
        <f t="shared" ref="L97:L110" si="81">IF(AC97=0,"",AC97)</f>
        <v>171</v>
      </c>
      <c r="M97" s="352">
        <f>IF(AD97="","",AD97)</f>
        <v>0</v>
      </c>
      <c r="N97" s="14">
        <f t="shared" ref="N97:N110" si="82">IF(AE97=0,"",AE97)</f>
        <v>803</v>
      </c>
      <c r="O97" s="352">
        <f>IF(AF97="","",AF97)</f>
        <v>2</v>
      </c>
      <c r="R97" s="355" t="s">
        <v>0</v>
      </c>
      <c r="S97" s="68" t="str">
        <f>IF(T97=0,"",VLOOKUP(T97,Starter!$A$1:$D$196,2,FALSE))</f>
        <v>Sommerer, Stefan</v>
      </c>
      <c r="T97" s="175">
        <v>38823</v>
      </c>
      <c r="U97" s="183">
        <v>185</v>
      </c>
      <c r="V97" s="95">
        <f>IF(SUM(U97:U99)+U115=0,0,IF(ABS(SUM(U97:U99))=U115,0.5,IF(ABS(SUM(U97:U99))&gt;U115,1,0)))</f>
        <v>1</v>
      </c>
      <c r="W97" s="183">
        <v>115</v>
      </c>
      <c r="X97" s="95">
        <f>IF(SUM(W97:W99)+W115=0,0,IF(ABS(SUM(W97:W99))=W115,0.5,IF(ABS(SUM(W97:W99))&gt;W115,1,0)))</f>
        <v>0</v>
      </c>
      <c r="Y97" s="183">
        <v>160</v>
      </c>
      <c r="Z97" s="95">
        <f>IF(SUM(Y97:Y99)+Y115=0,0,IF(ABS(SUM(Y97:Y99))=Y115,0.5,IF(ABS(SUM(Y97:Y99))&gt;Y115,1,0)))</f>
        <v>0</v>
      </c>
      <c r="AA97" s="189">
        <v>172</v>
      </c>
      <c r="AB97" s="95">
        <f>IF(SUM(AA97:AA99)+AA115=0,0,IF(ABS(SUM(AA97:AA99))=AA115,0.5,IF(ABS(SUM(AA97:AA99))&gt;AA115,1,0)))</f>
        <v>1</v>
      </c>
      <c r="AC97" s="183">
        <v>171</v>
      </c>
      <c r="AD97" s="95">
        <f>IF(SUM(AC97:AC99)+AC115=0,0,IF(ABS(SUM(AC97:AC99))=AC115,0.5,IF(ABS(SUM(AC97:AC99))&gt;AC115,1,0)))</f>
        <v>0</v>
      </c>
      <c r="AE97" s="195">
        <f t="shared" ref="AE97:AE108" si="83">ABS(SUM(U97:U97))+ABS(SUM(W97:W97))+ABS(SUM(Y97:Y97))+ABS(SUM(AA97:AA97))+ABS(SUM(AC97:AC97))</f>
        <v>803</v>
      </c>
      <c r="AF97" s="180">
        <f>SUM(V97+X97+Z97+AB97+AD97)</f>
        <v>2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4">T97</f>
        <v>38823</v>
      </c>
      <c r="BE97" s="213">
        <f t="shared" ref="BE97:BE108" si="85">AE97</f>
        <v>803</v>
      </c>
      <c r="BF97" s="215">
        <f t="shared" ref="BF97:BF108" si="86">COUNT(BH97:BL97)</f>
        <v>5</v>
      </c>
      <c r="BG97" s="215">
        <f t="shared" ref="BG97:BG108" si="87">COUNTIF(BH97:BL97,"&gt;0")</f>
        <v>5</v>
      </c>
      <c r="BH97" s="215">
        <f t="shared" ref="BH97:BH108" si="88">IF(U97=0,"",U97)</f>
        <v>185</v>
      </c>
      <c r="BI97" s="215">
        <f t="shared" ref="BI97:BI108" si="89">IF(W97=0,"",W97)</f>
        <v>115</v>
      </c>
      <c r="BJ97" s="215">
        <f t="shared" ref="BJ97:BJ108" si="90">IF(Y97=0,"",Y97)</f>
        <v>160</v>
      </c>
      <c r="BK97" s="215">
        <f t="shared" ref="BK97:BK108" si="91">IF(AA97=0,"",AA97)</f>
        <v>172</v>
      </c>
      <c r="BL97" s="215">
        <f t="shared" ref="BL97:BL108" si="92">IF(AC97=0,"",AC97)</f>
        <v>171</v>
      </c>
      <c r="BM97" s="216"/>
      <c r="BN97" s="214"/>
      <c r="BO97" s="215">
        <f t="shared" ref="BO97:BO108" si="93">MAX(BH97:BL97)</f>
        <v>185</v>
      </c>
      <c r="BP97" s="215">
        <f t="shared" ref="BP97:BP108" si="94">IF(BO97&lt;MAX(BO:BO),0,BO97+ROW()/1000000000)</f>
        <v>0</v>
      </c>
      <c r="BQ97" s="215" t="str">
        <f>+S93</f>
        <v>Kings Club Bayreuth Land 3</v>
      </c>
      <c r="BR97" s="214">
        <f t="shared" ref="BR97:BR108" si="95">RANK(BP97,BP:BP)</f>
        <v>2</v>
      </c>
      <c r="BS97" s="215">
        <f t="shared" ref="BS97:BS108" si="96">SUMIF(BH97:BL97,"&gt;0")</f>
        <v>803</v>
      </c>
      <c r="BT97" s="215">
        <f>IF(COUNTIF(BH97:BL97,"&gt;0")&lt;Spielorte!$A$23,0,BE97/Spielorte!$A$23)</f>
        <v>160.6</v>
      </c>
      <c r="BU97" s="215">
        <f t="shared" ref="BU97:BU108" si="97">IF(BT97&lt;MAX(BT:BT),0,BT97+ROW()/1000000000)</f>
        <v>0</v>
      </c>
      <c r="BV97" s="214">
        <f t="shared" ref="BV97:BV108" si="98">IF(BU97=0,0,RANK(BU97,BU:BU))</f>
        <v>0</v>
      </c>
    </row>
    <row r="98" spans="1:74" ht="17.100000000000001" customHeight="1" x14ac:dyDescent="0.2">
      <c r="A98" s="374"/>
      <c r="B98" s="19" t="str">
        <f t="shared" ref="B98:D110" si="99">IF(S98=0,"",S98)</f>
        <v/>
      </c>
      <c r="C98" s="20" t="str">
        <f t="shared" si="99"/>
        <v/>
      </c>
      <c r="D98" s="15" t="str">
        <f t="shared" si="99"/>
        <v/>
      </c>
      <c r="E98" s="353"/>
      <c r="F98" s="15" t="str">
        <f t="shared" si="78"/>
        <v/>
      </c>
      <c r="G98" s="353"/>
      <c r="H98" s="15" t="str">
        <f t="shared" si="79"/>
        <v/>
      </c>
      <c r="I98" s="353"/>
      <c r="J98" s="15" t="str">
        <f t="shared" si="80"/>
        <v/>
      </c>
      <c r="K98" s="353"/>
      <c r="L98" s="15" t="str">
        <f t="shared" si="81"/>
        <v/>
      </c>
      <c r="M98" s="353"/>
      <c r="N98" s="15" t="str">
        <f t="shared" si="82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3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4"/>
        <v>0</v>
      </c>
      <c r="BE98" s="213">
        <f t="shared" si="85"/>
        <v>0</v>
      </c>
      <c r="BF98" s="215">
        <f t="shared" si="86"/>
        <v>0</v>
      </c>
      <c r="BG98" s="215">
        <f t="shared" si="87"/>
        <v>0</v>
      </c>
      <c r="BH98" s="215" t="str">
        <f t="shared" si="88"/>
        <v/>
      </c>
      <c r="BI98" s="215" t="str">
        <f t="shared" si="89"/>
        <v/>
      </c>
      <c r="BJ98" s="215" t="str">
        <f t="shared" si="90"/>
        <v/>
      </c>
      <c r="BK98" s="215" t="str">
        <f t="shared" si="91"/>
        <v/>
      </c>
      <c r="BL98" s="215" t="str">
        <f t="shared" si="92"/>
        <v/>
      </c>
      <c r="BM98" s="216"/>
      <c r="BN98" s="214"/>
      <c r="BO98" s="215">
        <f t="shared" si="93"/>
        <v>0</v>
      </c>
      <c r="BP98" s="215">
        <f t="shared" si="94"/>
        <v>0</v>
      </c>
      <c r="BQ98" s="215" t="str">
        <f t="shared" ref="BQ98:BQ108" si="100">+BQ97</f>
        <v>Kings Club Bayreuth Land 3</v>
      </c>
      <c r="BR98" s="214">
        <f t="shared" si="95"/>
        <v>2</v>
      </c>
      <c r="BS98" s="215">
        <f t="shared" si="96"/>
        <v>0</v>
      </c>
      <c r="BT98" s="215">
        <f>IF(COUNTIF(BH98:BL98,"&gt;0")&lt;Spielorte!$A$23,0,BE98/Spielorte!$A$23)</f>
        <v>0</v>
      </c>
      <c r="BU98" s="215">
        <f t="shared" si="97"/>
        <v>0</v>
      </c>
      <c r="BV98" s="214">
        <f t="shared" si="98"/>
        <v>0</v>
      </c>
    </row>
    <row r="99" spans="1:74" ht="17.100000000000001" customHeight="1" thickBot="1" x14ac:dyDescent="0.25">
      <c r="A99" s="375"/>
      <c r="B99" s="21" t="str">
        <f t="shared" si="99"/>
        <v/>
      </c>
      <c r="C99" s="22" t="str">
        <f t="shared" si="99"/>
        <v/>
      </c>
      <c r="D99" s="9" t="str">
        <f t="shared" si="99"/>
        <v/>
      </c>
      <c r="E99" s="354"/>
      <c r="F99" s="9" t="str">
        <f t="shared" si="78"/>
        <v/>
      </c>
      <c r="G99" s="354"/>
      <c r="H99" s="9" t="str">
        <f t="shared" si="79"/>
        <v/>
      </c>
      <c r="I99" s="354"/>
      <c r="J99" s="9" t="str">
        <f t="shared" si="80"/>
        <v/>
      </c>
      <c r="K99" s="354"/>
      <c r="L99" s="9" t="str">
        <f t="shared" si="81"/>
        <v/>
      </c>
      <c r="M99" s="354"/>
      <c r="N99" s="9" t="str">
        <f t="shared" si="82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3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4"/>
        <v>0</v>
      </c>
      <c r="BE99" s="213">
        <f t="shared" si="85"/>
        <v>0</v>
      </c>
      <c r="BF99" s="215">
        <f t="shared" si="86"/>
        <v>0</v>
      </c>
      <c r="BG99" s="215">
        <f t="shared" si="87"/>
        <v>0</v>
      </c>
      <c r="BH99" s="215" t="str">
        <f t="shared" si="88"/>
        <v/>
      </c>
      <c r="BI99" s="215" t="str">
        <f t="shared" si="89"/>
        <v/>
      </c>
      <c r="BJ99" s="215" t="str">
        <f t="shared" si="90"/>
        <v/>
      </c>
      <c r="BK99" s="215" t="str">
        <f t="shared" si="91"/>
        <v/>
      </c>
      <c r="BL99" s="215" t="str">
        <f t="shared" si="92"/>
        <v/>
      </c>
      <c r="BM99" s="216"/>
      <c r="BN99" s="214"/>
      <c r="BO99" s="215">
        <f t="shared" si="93"/>
        <v>0</v>
      </c>
      <c r="BP99" s="215">
        <f t="shared" si="94"/>
        <v>0</v>
      </c>
      <c r="BQ99" s="215" t="str">
        <f t="shared" si="100"/>
        <v>Kings Club Bayreuth Land 3</v>
      </c>
      <c r="BR99" s="214">
        <f t="shared" si="95"/>
        <v>2</v>
      </c>
      <c r="BS99" s="215">
        <f t="shared" si="96"/>
        <v>0</v>
      </c>
      <c r="BT99" s="215">
        <f>IF(COUNTIF(BH99:BL99,"&gt;0")&lt;Spielorte!$A$23,0,BE99/Spielorte!$A$23)</f>
        <v>0</v>
      </c>
      <c r="BU99" s="215">
        <f t="shared" si="97"/>
        <v>0</v>
      </c>
      <c r="BV99" s="214">
        <f t="shared" si="98"/>
        <v>0</v>
      </c>
    </row>
    <row r="100" spans="1:74" ht="17.100000000000001" customHeight="1" x14ac:dyDescent="0.2">
      <c r="A100" s="373" t="s">
        <v>2</v>
      </c>
      <c r="B100" s="17" t="str">
        <f t="shared" si="99"/>
        <v>Zahiri, Ali</v>
      </c>
      <c r="C100" s="18">
        <f t="shared" si="99"/>
        <v>38509</v>
      </c>
      <c r="D100" s="14">
        <f t="shared" si="99"/>
        <v>147</v>
      </c>
      <c r="E100" s="352">
        <f>IF(V100="","",V100)</f>
        <v>1</v>
      </c>
      <c r="F100" s="14">
        <f t="shared" si="78"/>
        <v>175</v>
      </c>
      <c r="G100" s="352">
        <f>IF(X100="","",X100)</f>
        <v>0</v>
      </c>
      <c r="H100" s="14">
        <f t="shared" si="79"/>
        <v>181</v>
      </c>
      <c r="I100" s="352">
        <f>IF(Z100="","",Z100)</f>
        <v>1</v>
      </c>
      <c r="J100" s="14">
        <f t="shared" si="80"/>
        <v>156</v>
      </c>
      <c r="K100" s="352">
        <f>IF(AB100="","",AB100)</f>
        <v>0</v>
      </c>
      <c r="L100" s="14">
        <f t="shared" si="81"/>
        <v>152</v>
      </c>
      <c r="M100" s="352">
        <f>IF(AD100="","",AD100)</f>
        <v>1</v>
      </c>
      <c r="N100" s="14">
        <f t="shared" si="82"/>
        <v>811</v>
      </c>
      <c r="O100" s="352">
        <f>IF(AF100="","",AF100)</f>
        <v>3</v>
      </c>
      <c r="R100" s="355" t="s">
        <v>2</v>
      </c>
      <c r="S100" s="68" t="str">
        <f>IF(T100=0,"",VLOOKUP(T100,Starter!$A$1:$D$196,2,FALSE))</f>
        <v>Zahiri, Ali</v>
      </c>
      <c r="T100" s="178">
        <v>38509</v>
      </c>
      <c r="U100" s="186">
        <v>147</v>
      </c>
      <c r="V100" s="95">
        <f>IF(SUM(U100:U102)+U116=0,0,IF(ABS(SUM(U100:U102))=U116,0.5,IF(ABS(SUM(U100:U102))&gt;U116,1,0)))</f>
        <v>1</v>
      </c>
      <c r="W100" s="186">
        <v>175</v>
      </c>
      <c r="X100" s="95">
        <f>IF(SUM(W100:W102)+W116=0,0,IF(ABS(SUM(W100:W102))=W116,0.5,IF(ABS(SUM(W100:W102))&gt;W116,1,0)))</f>
        <v>0</v>
      </c>
      <c r="Y100" s="186">
        <v>181</v>
      </c>
      <c r="Z100" s="95">
        <f>IF(SUM(Y100:Y102)+Y116=0,0,IF(ABS(SUM(Y100:Y102))=Y116,0.5,IF(ABS(SUM(Y100:Y102))&gt;Y116,1,0)))</f>
        <v>1</v>
      </c>
      <c r="AA100" s="186">
        <v>156</v>
      </c>
      <c r="AB100" s="95">
        <f>IF(SUM(AA100:AA102)+AA116=0,0,IF(ABS(SUM(AA100:AA102))=AA116,0.5,IF(ABS(SUM(AA100:AA102))&gt;AA116,1,0)))</f>
        <v>0</v>
      </c>
      <c r="AC100" s="186">
        <v>152</v>
      </c>
      <c r="AD100" s="95">
        <f>IF(SUM(AC100:AC102)+AC116=0,0,IF(ABS(SUM(AC100:AC102))=AC116,0.5,IF(ABS(SUM(AC100:AC102))&gt;AC116,1,0)))</f>
        <v>1</v>
      </c>
      <c r="AE100" s="195">
        <f t="shared" si="83"/>
        <v>811</v>
      </c>
      <c r="AF100" s="180">
        <f>SUM(V100+X100+Z100+AB100+AD100)</f>
        <v>3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4"/>
        <v>38509</v>
      </c>
      <c r="BE100" s="213">
        <f t="shared" si="85"/>
        <v>811</v>
      </c>
      <c r="BF100" s="215">
        <f t="shared" si="86"/>
        <v>5</v>
      </c>
      <c r="BG100" s="215">
        <f t="shared" si="87"/>
        <v>5</v>
      </c>
      <c r="BH100" s="215">
        <f t="shared" si="88"/>
        <v>147</v>
      </c>
      <c r="BI100" s="215">
        <f t="shared" si="89"/>
        <v>175</v>
      </c>
      <c r="BJ100" s="215">
        <f t="shared" si="90"/>
        <v>181</v>
      </c>
      <c r="BK100" s="215">
        <f t="shared" si="91"/>
        <v>156</v>
      </c>
      <c r="BL100" s="215">
        <f t="shared" si="92"/>
        <v>152</v>
      </c>
      <c r="BM100" s="216"/>
      <c r="BN100" s="214"/>
      <c r="BO100" s="215">
        <f t="shared" si="93"/>
        <v>181</v>
      </c>
      <c r="BP100" s="215">
        <f t="shared" si="94"/>
        <v>0</v>
      </c>
      <c r="BQ100" s="215" t="str">
        <f t="shared" si="100"/>
        <v>Kings Club Bayreuth Land 3</v>
      </c>
      <c r="BR100" s="214">
        <f t="shared" si="95"/>
        <v>2</v>
      </c>
      <c r="BS100" s="215">
        <f t="shared" si="96"/>
        <v>811</v>
      </c>
      <c r="BT100" s="215">
        <f>IF(COUNTIF(BH100:BL100,"&gt;0")&lt;Spielorte!$A$23,0,BE100/Spielorte!$A$23)</f>
        <v>162.19999999999999</v>
      </c>
      <c r="BU100" s="215">
        <f t="shared" si="97"/>
        <v>0</v>
      </c>
      <c r="BV100" s="214">
        <f t="shared" si="98"/>
        <v>0</v>
      </c>
    </row>
    <row r="101" spans="1:74" ht="17.100000000000001" customHeight="1" x14ac:dyDescent="0.2">
      <c r="A101" s="374"/>
      <c r="B101" s="19" t="str">
        <f t="shared" si="99"/>
        <v/>
      </c>
      <c r="C101" s="20" t="str">
        <f t="shared" si="99"/>
        <v/>
      </c>
      <c r="D101" s="15" t="str">
        <f t="shared" si="99"/>
        <v/>
      </c>
      <c r="E101" s="353"/>
      <c r="F101" s="15" t="str">
        <f t="shared" si="78"/>
        <v/>
      </c>
      <c r="G101" s="353"/>
      <c r="H101" s="15" t="str">
        <f t="shared" si="79"/>
        <v/>
      </c>
      <c r="I101" s="353"/>
      <c r="J101" s="15" t="str">
        <f t="shared" si="80"/>
        <v/>
      </c>
      <c r="K101" s="353"/>
      <c r="L101" s="15" t="str">
        <f t="shared" si="81"/>
        <v/>
      </c>
      <c r="M101" s="353"/>
      <c r="N101" s="15" t="str">
        <f t="shared" si="82"/>
        <v/>
      </c>
      <c r="O101" s="353"/>
      <c r="R101" s="356"/>
      <c r="S101" s="68" t="str">
        <f>IF(T101=0,"",VLOOKUP(T101,Starter!$A$1:$D$196,2,FALSE))</f>
        <v/>
      </c>
      <c r="T101" s="176"/>
      <c r="U101" s="184"/>
      <c r="V101" s="96"/>
      <c r="W101" s="184"/>
      <c r="X101" s="96"/>
      <c r="Y101" s="184"/>
      <c r="Z101" s="96"/>
      <c r="AA101" s="184"/>
      <c r="AB101" s="96"/>
      <c r="AC101" s="184"/>
      <c r="AD101" s="96"/>
      <c r="AE101" s="196">
        <f t="shared" si="83"/>
        <v>0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4"/>
        <v>0</v>
      </c>
      <c r="BE101" s="213">
        <f t="shared" si="85"/>
        <v>0</v>
      </c>
      <c r="BF101" s="215">
        <f t="shared" si="86"/>
        <v>0</v>
      </c>
      <c r="BG101" s="215">
        <f t="shared" si="87"/>
        <v>0</v>
      </c>
      <c r="BH101" s="215" t="str">
        <f t="shared" si="88"/>
        <v/>
      </c>
      <c r="BI101" s="215" t="str">
        <f t="shared" si="89"/>
        <v/>
      </c>
      <c r="BJ101" s="215" t="str">
        <f t="shared" si="90"/>
        <v/>
      </c>
      <c r="BK101" s="215" t="str">
        <f t="shared" si="91"/>
        <v/>
      </c>
      <c r="BL101" s="215" t="str">
        <f t="shared" si="92"/>
        <v/>
      </c>
      <c r="BM101" s="216"/>
      <c r="BN101" s="214"/>
      <c r="BO101" s="215">
        <f t="shared" si="93"/>
        <v>0</v>
      </c>
      <c r="BP101" s="215">
        <f t="shared" si="94"/>
        <v>0</v>
      </c>
      <c r="BQ101" s="215" t="str">
        <f t="shared" si="100"/>
        <v>Kings Club Bayreuth Land 3</v>
      </c>
      <c r="BR101" s="214">
        <f t="shared" si="95"/>
        <v>2</v>
      </c>
      <c r="BS101" s="215">
        <f t="shared" si="96"/>
        <v>0</v>
      </c>
      <c r="BT101" s="215">
        <f>IF(COUNTIF(BH101:BL101,"&gt;0")&lt;Spielorte!$A$23,0,BE101/Spielorte!$A$23)</f>
        <v>0</v>
      </c>
      <c r="BU101" s="215">
        <f t="shared" si="97"/>
        <v>0</v>
      </c>
      <c r="BV101" s="214">
        <f t="shared" si="98"/>
        <v>0</v>
      </c>
    </row>
    <row r="102" spans="1:74" ht="17.100000000000001" customHeight="1" thickBot="1" x14ac:dyDescent="0.25">
      <c r="A102" s="375"/>
      <c r="B102" s="21" t="str">
        <f t="shared" si="99"/>
        <v/>
      </c>
      <c r="C102" s="22" t="str">
        <f t="shared" si="99"/>
        <v/>
      </c>
      <c r="D102" s="9" t="str">
        <f t="shared" si="99"/>
        <v/>
      </c>
      <c r="E102" s="354"/>
      <c r="F102" s="9" t="str">
        <f t="shared" si="78"/>
        <v/>
      </c>
      <c r="G102" s="354"/>
      <c r="H102" s="9" t="str">
        <f t="shared" si="79"/>
        <v/>
      </c>
      <c r="I102" s="354"/>
      <c r="J102" s="9" t="str">
        <f t="shared" si="80"/>
        <v/>
      </c>
      <c r="K102" s="354"/>
      <c r="L102" s="9" t="str">
        <f t="shared" si="81"/>
        <v/>
      </c>
      <c r="M102" s="354"/>
      <c r="N102" s="9" t="str">
        <f t="shared" si="82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3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4"/>
        <v>0</v>
      </c>
      <c r="BE102" s="213">
        <f t="shared" si="85"/>
        <v>0</v>
      </c>
      <c r="BF102" s="215">
        <f t="shared" si="86"/>
        <v>0</v>
      </c>
      <c r="BG102" s="215">
        <f t="shared" si="87"/>
        <v>0</v>
      </c>
      <c r="BH102" s="215" t="str">
        <f t="shared" si="88"/>
        <v/>
      </c>
      <c r="BI102" s="215" t="str">
        <f t="shared" si="89"/>
        <v/>
      </c>
      <c r="BJ102" s="215" t="str">
        <f t="shared" si="90"/>
        <v/>
      </c>
      <c r="BK102" s="215" t="str">
        <f t="shared" si="91"/>
        <v/>
      </c>
      <c r="BL102" s="215" t="str">
        <f t="shared" si="92"/>
        <v/>
      </c>
      <c r="BM102" s="216"/>
      <c r="BN102" s="214"/>
      <c r="BO102" s="215">
        <f t="shared" si="93"/>
        <v>0</v>
      </c>
      <c r="BP102" s="215">
        <f t="shared" si="94"/>
        <v>0</v>
      </c>
      <c r="BQ102" s="215" t="str">
        <f t="shared" si="100"/>
        <v>Kings Club Bayreuth Land 3</v>
      </c>
      <c r="BR102" s="214">
        <f t="shared" si="95"/>
        <v>2</v>
      </c>
      <c r="BS102" s="215">
        <f t="shared" si="96"/>
        <v>0</v>
      </c>
      <c r="BT102" s="215">
        <f>IF(COUNTIF(BH102:BL102,"&gt;0")&lt;Spielorte!$A$23,0,BE102/Spielorte!$A$23)</f>
        <v>0</v>
      </c>
      <c r="BU102" s="215">
        <f t="shared" si="97"/>
        <v>0</v>
      </c>
      <c r="BV102" s="214">
        <f t="shared" si="98"/>
        <v>0</v>
      </c>
    </row>
    <row r="103" spans="1:74" ht="17.100000000000001" customHeight="1" x14ac:dyDescent="0.2">
      <c r="A103" s="373" t="s">
        <v>3</v>
      </c>
      <c r="B103" s="17" t="str">
        <f t="shared" si="99"/>
        <v>Fischer, Nick</v>
      </c>
      <c r="C103" s="18">
        <f t="shared" si="99"/>
        <v>9936</v>
      </c>
      <c r="D103" s="14">
        <f t="shared" si="99"/>
        <v>214</v>
      </c>
      <c r="E103" s="352">
        <f>IF(V103="","",V103)</f>
        <v>1</v>
      </c>
      <c r="F103" s="14">
        <f t="shared" si="78"/>
        <v>224</v>
      </c>
      <c r="G103" s="352">
        <f>IF(X103="","",X103)</f>
        <v>1</v>
      </c>
      <c r="H103" s="14">
        <f t="shared" si="79"/>
        <v>255</v>
      </c>
      <c r="I103" s="352">
        <f>IF(Z103="","",Z103)</f>
        <v>1</v>
      </c>
      <c r="J103" s="14">
        <f t="shared" si="80"/>
        <v>185</v>
      </c>
      <c r="K103" s="352">
        <f>IF(AB103="","",AB103)</f>
        <v>1</v>
      </c>
      <c r="L103" s="14">
        <f t="shared" si="81"/>
        <v>155</v>
      </c>
      <c r="M103" s="352">
        <f>IF(AD103="","",AD103)</f>
        <v>0</v>
      </c>
      <c r="N103" s="14">
        <f t="shared" si="82"/>
        <v>1033</v>
      </c>
      <c r="O103" s="352">
        <f>IF(AF103="","",AF103)</f>
        <v>4</v>
      </c>
      <c r="R103" s="355" t="s">
        <v>3</v>
      </c>
      <c r="S103" s="68" t="str">
        <f>IF(T103=0,"",VLOOKUP(T103,Starter!$A$1:$D$196,2,FALSE))</f>
        <v>Fischer, Nick</v>
      </c>
      <c r="T103" s="178">
        <v>9936</v>
      </c>
      <c r="U103" s="186">
        <v>214</v>
      </c>
      <c r="V103" s="95">
        <f>IF(SUM(U103:U105)+U117=0,0,IF(ABS(SUM(U103:U105))=U117,0.5,IF(ABS(SUM(U103:U105))&gt;U117,1,0)))</f>
        <v>1</v>
      </c>
      <c r="W103" s="186">
        <v>224</v>
      </c>
      <c r="X103" s="95">
        <f>IF(SUM(W103:W105)+W117=0,0,IF(ABS(SUM(W103:W105))=W117,0.5,IF(ABS(SUM(W103:W105))&gt;W117,1,0)))</f>
        <v>1</v>
      </c>
      <c r="Y103" s="186">
        <v>255</v>
      </c>
      <c r="Z103" s="95">
        <f>IF(SUM(Y103:Y105)+Y117=0,0,IF(ABS(SUM(Y103:Y105))=Y117,0.5,IF(ABS(SUM(Y103:Y105))&gt;Y117,1,0)))</f>
        <v>1</v>
      </c>
      <c r="AA103" s="186">
        <v>185</v>
      </c>
      <c r="AB103" s="95">
        <f>IF(SUM(AA103:AA105)+AA117=0,0,IF(ABS(SUM(AA103:AA105))=AA117,0.5,IF(ABS(SUM(AA103:AA105))&gt;AA117,1,0)))</f>
        <v>1</v>
      </c>
      <c r="AC103" s="186">
        <v>155</v>
      </c>
      <c r="AD103" s="95">
        <f>IF(SUM(AC103:AC105)+AC117=0,0,IF(ABS(SUM(AC103:AC105))=AC117,0.5,IF(ABS(SUM(AC103:AC105))&gt;AC117,1,0)))</f>
        <v>0</v>
      </c>
      <c r="AE103" s="195">
        <f t="shared" si="83"/>
        <v>1033</v>
      </c>
      <c r="AF103" s="180">
        <f>SUM(V103+X103+Z103+AB103+AD103)</f>
        <v>4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4"/>
        <v>9936</v>
      </c>
      <c r="BE103" s="213">
        <f t="shared" si="85"/>
        <v>1033</v>
      </c>
      <c r="BF103" s="215">
        <f t="shared" si="86"/>
        <v>5</v>
      </c>
      <c r="BG103" s="215">
        <f t="shared" si="87"/>
        <v>5</v>
      </c>
      <c r="BH103" s="215">
        <f t="shared" si="88"/>
        <v>214</v>
      </c>
      <c r="BI103" s="215">
        <f t="shared" si="89"/>
        <v>224</v>
      </c>
      <c r="BJ103" s="215">
        <f t="shared" si="90"/>
        <v>255</v>
      </c>
      <c r="BK103" s="215">
        <f t="shared" si="91"/>
        <v>185</v>
      </c>
      <c r="BL103" s="215">
        <f t="shared" si="92"/>
        <v>155</v>
      </c>
      <c r="BM103" s="216"/>
      <c r="BN103" s="214"/>
      <c r="BO103" s="215">
        <f t="shared" si="93"/>
        <v>255</v>
      </c>
      <c r="BP103" s="215">
        <f t="shared" si="94"/>
        <v>255.00000010299999</v>
      </c>
      <c r="BQ103" s="215" t="str">
        <f t="shared" si="100"/>
        <v>Kings Club Bayreuth Land 3</v>
      </c>
      <c r="BR103" s="214">
        <f t="shared" si="95"/>
        <v>1</v>
      </c>
      <c r="BS103" s="215">
        <f t="shared" si="96"/>
        <v>1033</v>
      </c>
      <c r="BT103" s="215">
        <f>IF(COUNTIF(BH103:BL103,"&gt;0")&lt;Spielorte!$A$23,0,BE103/Spielorte!$A$23)</f>
        <v>206.6</v>
      </c>
      <c r="BU103" s="215">
        <f t="shared" si="97"/>
        <v>0</v>
      </c>
      <c r="BV103" s="214">
        <f t="shared" si="98"/>
        <v>0</v>
      </c>
    </row>
    <row r="104" spans="1:74" ht="17.100000000000001" customHeight="1" x14ac:dyDescent="0.2">
      <c r="A104" s="374"/>
      <c r="B104" s="19" t="str">
        <f t="shared" si="99"/>
        <v/>
      </c>
      <c r="C104" s="20" t="str">
        <f t="shared" si="99"/>
        <v/>
      </c>
      <c r="D104" s="15" t="str">
        <f t="shared" si="99"/>
        <v/>
      </c>
      <c r="E104" s="353"/>
      <c r="F104" s="15" t="str">
        <f t="shared" si="78"/>
        <v/>
      </c>
      <c r="G104" s="353"/>
      <c r="H104" s="15" t="str">
        <f t="shared" si="79"/>
        <v/>
      </c>
      <c r="I104" s="353"/>
      <c r="J104" s="15" t="str">
        <f t="shared" si="80"/>
        <v/>
      </c>
      <c r="K104" s="353"/>
      <c r="L104" s="15" t="str">
        <f t="shared" si="81"/>
        <v/>
      </c>
      <c r="M104" s="353"/>
      <c r="N104" s="15" t="str">
        <f t="shared" si="82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3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4"/>
        <v>0</v>
      </c>
      <c r="BE104" s="213">
        <f t="shared" si="85"/>
        <v>0</v>
      </c>
      <c r="BF104" s="215">
        <f t="shared" si="86"/>
        <v>0</v>
      </c>
      <c r="BG104" s="215">
        <f t="shared" si="87"/>
        <v>0</v>
      </c>
      <c r="BH104" s="215" t="str">
        <f t="shared" si="88"/>
        <v/>
      </c>
      <c r="BI104" s="215" t="str">
        <f t="shared" si="89"/>
        <v/>
      </c>
      <c r="BJ104" s="215" t="str">
        <f t="shared" si="90"/>
        <v/>
      </c>
      <c r="BK104" s="215" t="str">
        <f t="shared" si="91"/>
        <v/>
      </c>
      <c r="BL104" s="215" t="str">
        <f t="shared" si="92"/>
        <v/>
      </c>
      <c r="BM104" s="216"/>
      <c r="BN104" s="214"/>
      <c r="BO104" s="215">
        <f t="shared" si="93"/>
        <v>0</v>
      </c>
      <c r="BP104" s="215">
        <f t="shared" si="94"/>
        <v>0</v>
      </c>
      <c r="BQ104" s="215" t="str">
        <f t="shared" si="100"/>
        <v>Kings Club Bayreuth Land 3</v>
      </c>
      <c r="BR104" s="214">
        <f t="shared" si="95"/>
        <v>2</v>
      </c>
      <c r="BS104" s="215">
        <f t="shared" si="96"/>
        <v>0</v>
      </c>
      <c r="BT104" s="215">
        <f>IF(COUNTIF(BH104:BL104,"&gt;0")&lt;Spielorte!$A$23,0,BE104/Spielorte!$A$23)</f>
        <v>0</v>
      </c>
      <c r="BU104" s="215">
        <f t="shared" si="97"/>
        <v>0</v>
      </c>
      <c r="BV104" s="214">
        <f t="shared" si="98"/>
        <v>0</v>
      </c>
    </row>
    <row r="105" spans="1:74" ht="17.100000000000001" customHeight="1" thickBot="1" x14ac:dyDescent="0.25">
      <c r="A105" s="375"/>
      <c r="B105" s="21" t="str">
        <f t="shared" si="99"/>
        <v/>
      </c>
      <c r="C105" s="22" t="str">
        <f t="shared" si="99"/>
        <v/>
      </c>
      <c r="D105" s="9" t="str">
        <f t="shared" si="99"/>
        <v/>
      </c>
      <c r="E105" s="354"/>
      <c r="F105" s="9" t="str">
        <f t="shared" si="78"/>
        <v/>
      </c>
      <c r="G105" s="354"/>
      <c r="H105" s="9" t="str">
        <f t="shared" si="79"/>
        <v/>
      </c>
      <c r="I105" s="354"/>
      <c r="J105" s="9" t="str">
        <f t="shared" si="80"/>
        <v/>
      </c>
      <c r="K105" s="354"/>
      <c r="L105" s="9" t="str">
        <f t="shared" si="81"/>
        <v/>
      </c>
      <c r="M105" s="354"/>
      <c r="N105" s="9" t="str">
        <f t="shared" si="82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3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4"/>
        <v>0</v>
      </c>
      <c r="BE105" s="213">
        <f t="shared" si="85"/>
        <v>0</v>
      </c>
      <c r="BF105" s="215">
        <f t="shared" si="86"/>
        <v>0</v>
      </c>
      <c r="BG105" s="215">
        <f t="shared" si="87"/>
        <v>0</v>
      </c>
      <c r="BH105" s="215" t="str">
        <f t="shared" si="88"/>
        <v/>
      </c>
      <c r="BI105" s="215" t="str">
        <f t="shared" si="89"/>
        <v/>
      </c>
      <c r="BJ105" s="215" t="str">
        <f t="shared" si="90"/>
        <v/>
      </c>
      <c r="BK105" s="215" t="str">
        <f t="shared" si="91"/>
        <v/>
      </c>
      <c r="BL105" s="215" t="str">
        <f t="shared" si="92"/>
        <v/>
      </c>
      <c r="BM105" s="216"/>
      <c r="BN105" s="214"/>
      <c r="BO105" s="215">
        <f t="shared" si="93"/>
        <v>0</v>
      </c>
      <c r="BP105" s="215">
        <f t="shared" si="94"/>
        <v>0</v>
      </c>
      <c r="BQ105" s="215" t="str">
        <f t="shared" si="100"/>
        <v>Kings Club Bayreuth Land 3</v>
      </c>
      <c r="BR105" s="214">
        <f t="shared" si="95"/>
        <v>2</v>
      </c>
      <c r="BS105" s="215">
        <f t="shared" si="96"/>
        <v>0</v>
      </c>
      <c r="BT105" s="215">
        <f>IF(COUNTIF(BH105:BL105,"&gt;0")&lt;Spielorte!$A$23,0,BE105/Spielorte!$A$23)</f>
        <v>0</v>
      </c>
      <c r="BU105" s="215">
        <f t="shared" si="97"/>
        <v>0</v>
      </c>
      <c r="BV105" s="214">
        <f t="shared" si="98"/>
        <v>0</v>
      </c>
    </row>
    <row r="106" spans="1:74" ht="17.100000000000001" customHeight="1" x14ac:dyDescent="0.2">
      <c r="A106" s="373" t="s">
        <v>11</v>
      </c>
      <c r="B106" s="17" t="str">
        <f>IF(S106=0,"",S106)</f>
        <v>Eichner, Karl</v>
      </c>
      <c r="C106" s="18">
        <f t="shared" si="99"/>
        <v>7586</v>
      </c>
      <c r="D106" s="14">
        <f t="shared" si="99"/>
        <v>171</v>
      </c>
      <c r="E106" s="352">
        <f>IF(V106="","",V106)</f>
        <v>0</v>
      </c>
      <c r="F106" s="14">
        <f t="shared" si="78"/>
        <v>200</v>
      </c>
      <c r="G106" s="352">
        <f>IF(X106="","",X106)</f>
        <v>0</v>
      </c>
      <c r="H106" s="14">
        <f t="shared" si="79"/>
        <v>172</v>
      </c>
      <c r="I106" s="352">
        <f>IF(Z106="","",Z106)</f>
        <v>1</v>
      </c>
      <c r="J106" s="14">
        <f t="shared" si="80"/>
        <v>147</v>
      </c>
      <c r="K106" s="352">
        <f>IF(AB106="","",AB106)</f>
        <v>0</v>
      </c>
      <c r="L106" s="14">
        <f t="shared" si="81"/>
        <v>247</v>
      </c>
      <c r="M106" s="352">
        <f>IF(AD106="","",AD106)</f>
        <v>1</v>
      </c>
      <c r="N106" s="14">
        <f t="shared" si="82"/>
        <v>937</v>
      </c>
      <c r="O106" s="352">
        <f>IF(AF106="","",AF106)</f>
        <v>2</v>
      </c>
      <c r="R106" s="355" t="s">
        <v>11</v>
      </c>
      <c r="S106" s="68" t="str">
        <f>IF(T106=0,"",VLOOKUP(T106,Starter!$A$1:$D$196,2,FALSE))</f>
        <v>Eichner, Karl</v>
      </c>
      <c r="T106" s="178">
        <v>7586</v>
      </c>
      <c r="U106" s="186">
        <v>171</v>
      </c>
      <c r="V106" s="95">
        <f>IF(SUM(U106:U108)+U118=0,0,IF(ABS(SUM(U106:U108))=U118,0.5,IF(ABS(SUM(U106:U108))&gt;U118,1,0)))</f>
        <v>0</v>
      </c>
      <c r="W106" s="186">
        <v>200</v>
      </c>
      <c r="X106" s="95">
        <f>IF(SUM(W106:W108)+W118=0,0,IF(ABS(SUM(W106:W108))=W118,0.5,IF(ABS(SUM(W106:W108))&gt;W118,1,0)))</f>
        <v>0</v>
      </c>
      <c r="Y106" s="186">
        <v>172</v>
      </c>
      <c r="Z106" s="95">
        <f>IF(SUM(Y106:Y108)+Y118=0,0,IF(ABS(SUM(Y106:Y108))=Y118,0.5,IF(ABS(SUM(Y106:Y108))&gt;Y118,1,0)))</f>
        <v>1</v>
      </c>
      <c r="AA106" s="186">
        <v>147</v>
      </c>
      <c r="AB106" s="95">
        <f>IF(SUM(AA106:AA108)+AA118=0,0,IF(ABS(SUM(AA106:AA108))=AA118,0.5,IF(ABS(SUM(AA106:AA108))&gt;AA118,1,0)))</f>
        <v>0</v>
      </c>
      <c r="AC106" s="186">
        <v>247</v>
      </c>
      <c r="AD106" s="95">
        <f>IF(SUM(AC106:AC108)+AC118=0,0,IF(ABS(SUM(AC106:AC108))=AC118,0.5,IF(ABS(SUM(AC106:AC108))&gt;AC118,1,0)))</f>
        <v>1</v>
      </c>
      <c r="AE106" s="195">
        <f t="shared" si="83"/>
        <v>937</v>
      </c>
      <c r="AF106" s="180">
        <f>SUM(V106+X106+Z106+AB106+AD106)</f>
        <v>2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4"/>
        <v>7586</v>
      </c>
      <c r="BE106" s="213">
        <f t="shared" si="85"/>
        <v>937</v>
      </c>
      <c r="BF106" s="215">
        <f t="shared" si="86"/>
        <v>5</v>
      </c>
      <c r="BG106" s="215">
        <f t="shared" si="87"/>
        <v>5</v>
      </c>
      <c r="BH106" s="215">
        <f t="shared" si="88"/>
        <v>171</v>
      </c>
      <c r="BI106" s="215">
        <f t="shared" si="89"/>
        <v>200</v>
      </c>
      <c r="BJ106" s="215">
        <f t="shared" si="90"/>
        <v>172</v>
      </c>
      <c r="BK106" s="215">
        <f t="shared" si="91"/>
        <v>147</v>
      </c>
      <c r="BL106" s="215">
        <f t="shared" si="92"/>
        <v>247</v>
      </c>
      <c r="BM106" s="216"/>
      <c r="BN106" s="214"/>
      <c r="BO106" s="215">
        <f t="shared" si="93"/>
        <v>247</v>
      </c>
      <c r="BP106" s="215">
        <f t="shared" si="94"/>
        <v>0</v>
      </c>
      <c r="BQ106" s="215" t="str">
        <f t="shared" si="100"/>
        <v>Kings Club Bayreuth Land 3</v>
      </c>
      <c r="BR106" s="214">
        <f t="shared" si="95"/>
        <v>2</v>
      </c>
      <c r="BS106" s="215">
        <f t="shared" si="96"/>
        <v>937</v>
      </c>
      <c r="BT106" s="215">
        <f>IF(COUNTIF(BH106:BL106,"&gt;0")&lt;Spielorte!$A$23,0,BE106/Spielorte!$A$23)</f>
        <v>187.4</v>
      </c>
      <c r="BU106" s="215">
        <f t="shared" si="97"/>
        <v>0</v>
      </c>
      <c r="BV106" s="214">
        <f t="shared" si="98"/>
        <v>0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99"/>
        <v/>
      </c>
      <c r="D107" s="15" t="str">
        <f t="shared" si="99"/>
        <v/>
      </c>
      <c r="E107" s="353"/>
      <c r="F107" s="15" t="str">
        <f t="shared" si="78"/>
        <v/>
      </c>
      <c r="G107" s="353"/>
      <c r="H107" s="15" t="str">
        <f t="shared" si="79"/>
        <v/>
      </c>
      <c r="I107" s="353"/>
      <c r="J107" s="15" t="str">
        <f t="shared" si="80"/>
        <v/>
      </c>
      <c r="K107" s="353"/>
      <c r="L107" s="15" t="str">
        <f t="shared" si="81"/>
        <v/>
      </c>
      <c r="M107" s="353"/>
      <c r="N107" s="15" t="str">
        <f t="shared" si="82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3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4"/>
        <v>0</v>
      </c>
      <c r="BE107" s="213">
        <f t="shared" si="85"/>
        <v>0</v>
      </c>
      <c r="BF107" s="215">
        <f t="shared" si="86"/>
        <v>0</v>
      </c>
      <c r="BG107" s="215">
        <f t="shared" si="87"/>
        <v>0</v>
      </c>
      <c r="BH107" s="215" t="str">
        <f t="shared" si="88"/>
        <v/>
      </c>
      <c r="BI107" s="215" t="str">
        <f t="shared" si="89"/>
        <v/>
      </c>
      <c r="BJ107" s="215" t="str">
        <f t="shared" si="90"/>
        <v/>
      </c>
      <c r="BK107" s="215" t="str">
        <f t="shared" si="91"/>
        <v/>
      </c>
      <c r="BL107" s="215" t="str">
        <f t="shared" si="92"/>
        <v/>
      </c>
      <c r="BM107" s="216"/>
      <c r="BN107" s="214"/>
      <c r="BO107" s="215">
        <f t="shared" si="93"/>
        <v>0</v>
      </c>
      <c r="BP107" s="215">
        <f t="shared" si="94"/>
        <v>0</v>
      </c>
      <c r="BQ107" s="215" t="str">
        <f t="shared" si="100"/>
        <v>Kings Club Bayreuth Land 3</v>
      </c>
      <c r="BR107" s="214">
        <f t="shared" si="95"/>
        <v>2</v>
      </c>
      <c r="BS107" s="215">
        <f t="shared" si="96"/>
        <v>0</v>
      </c>
      <c r="BT107" s="215">
        <f>IF(COUNTIF(BH107:BL107,"&gt;0")&lt;Spielorte!$A$23,0,BE107/Spielorte!$A$23)</f>
        <v>0</v>
      </c>
      <c r="BU107" s="215">
        <f t="shared" si="97"/>
        <v>0</v>
      </c>
      <c r="BV107" s="214">
        <f t="shared" si="98"/>
        <v>0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99"/>
        <v/>
      </c>
      <c r="D108" s="9" t="str">
        <f t="shared" si="99"/>
        <v/>
      </c>
      <c r="E108" s="354"/>
      <c r="F108" s="9" t="str">
        <f t="shared" si="78"/>
        <v/>
      </c>
      <c r="G108" s="354"/>
      <c r="H108" s="9" t="str">
        <f t="shared" si="79"/>
        <v/>
      </c>
      <c r="I108" s="354"/>
      <c r="J108" s="9" t="str">
        <f t="shared" si="80"/>
        <v/>
      </c>
      <c r="K108" s="354"/>
      <c r="L108" s="9" t="str">
        <f t="shared" si="81"/>
        <v/>
      </c>
      <c r="M108" s="354"/>
      <c r="N108" s="9" t="str">
        <f t="shared" si="82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3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4"/>
        <v>0</v>
      </c>
      <c r="BE108" s="213">
        <f t="shared" si="85"/>
        <v>0</v>
      </c>
      <c r="BF108" s="215">
        <f t="shared" si="86"/>
        <v>0</v>
      </c>
      <c r="BG108" s="215">
        <f t="shared" si="87"/>
        <v>0</v>
      </c>
      <c r="BH108" s="215" t="str">
        <f t="shared" si="88"/>
        <v/>
      </c>
      <c r="BI108" s="215" t="str">
        <f t="shared" si="89"/>
        <v/>
      </c>
      <c r="BJ108" s="215" t="str">
        <f t="shared" si="90"/>
        <v/>
      </c>
      <c r="BK108" s="215" t="str">
        <f t="shared" si="91"/>
        <v/>
      </c>
      <c r="BL108" s="215" t="str">
        <f t="shared" si="92"/>
        <v/>
      </c>
      <c r="BM108" s="216"/>
      <c r="BN108" s="214"/>
      <c r="BO108" s="215">
        <f t="shared" si="93"/>
        <v>0</v>
      </c>
      <c r="BP108" s="215">
        <f t="shared" si="94"/>
        <v>0</v>
      </c>
      <c r="BQ108" s="215" t="str">
        <f t="shared" si="100"/>
        <v>Kings Club Bayreuth Land 3</v>
      </c>
      <c r="BR108" s="214">
        <f t="shared" si="95"/>
        <v>2</v>
      </c>
      <c r="BS108" s="215">
        <f t="shared" si="96"/>
        <v>0</v>
      </c>
      <c r="BT108" s="215">
        <f>IF(COUNTIF(BH108:BL108,"&gt;0")&lt;Spielorte!$A$23,0,BE108/Spielorte!$A$23)</f>
        <v>0</v>
      </c>
      <c r="BU108" s="215">
        <f t="shared" si="97"/>
        <v>0</v>
      </c>
      <c r="BV108" s="214">
        <f t="shared" si="98"/>
        <v>0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99"/>
        <v/>
      </c>
      <c r="D109" s="16">
        <f t="shared" si="99"/>
        <v>717</v>
      </c>
      <c r="E109" s="12">
        <f>IF(V109="","",V109)</f>
        <v>2</v>
      </c>
      <c r="F109" s="16">
        <f t="shared" si="78"/>
        <v>714</v>
      </c>
      <c r="G109" s="12">
        <f>IF(X109="","",X109)</f>
        <v>0</v>
      </c>
      <c r="H109" s="16">
        <f t="shared" si="79"/>
        <v>768</v>
      </c>
      <c r="I109" s="12">
        <f>IF(Z109="","",Z109)</f>
        <v>2</v>
      </c>
      <c r="J109" s="16">
        <f t="shared" si="80"/>
        <v>660</v>
      </c>
      <c r="K109" s="12">
        <f>IF(AB109="","",AB109)</f>
        <v>2</v>
      </c>
      <c r="L109" s="16">
        <f t="shared" si="81"/>
        <v>725</v>
      </c>
      <c r="M109" s="12">
        <f>IF(AD109="","",AD109)</f>
        <v>2</v>
      </c>
      <c r="N109" s="16">
        <f t="shared" si="82"/>
        <v>3584</v>
      </c>
      <c r="O109" s="12">
        <f>IF(AF109="","",AF109)</f>
        <v>8</v>
      </c>
      <c r="S109" s="11" t="s">
        <v>1791</v>
      </c>
      <c r="T109" s="71"/>
      <c r="U109" s="188">
        <f>ABS(SUM(U97:U99))+ABS(SUM(U100:U102))+ABS(SUM(U103:U105))+ABS(SUM(U106:U108))</f>
        <v>717</v>
      </c>
      <c r="V109" s="98">
        <f>IF(U109+U119=0,0,IF(U109=U119,1,IF(U109&gt;U119,2,0)))</f>
        <v>2</v>
      </c>
      <c r="W109" s="188">
        <f>ABS(SUM(W97:W99))+ABS(SUM(W100:W102))+ABS(SUM(W103:W105))+ABS(SUM(W106:W108))</f>
        <v>714</v>
      </c>
      <c r="X109" s="98">
        <f>IF(W109+W119=0,0,IF(W109=W119,1,IF(W109&gt;W119,2,0)))</f>
        <v>0</v>
      </c>
      <c r="Y109" s="188">
        <f>ABS(SUM(Y97:Y99))+ABS(SUM(Y100:Y102))+ABS(SUM(Y103:Y105))+ABS(SUM(Y106:Y108))</f>
        <v>768</v>
      </c>
      <c r="Z109" s="98">
        <f>IF(Y109+Y119=0,0,IF(Y109=Y119,1,IF(Y109&gt;Y119,2,0)))</f>
        <v>2</v>
      </c>
      <c r="AA109" s="188">
        <f>ABS(SUM(AA97:AA99))+ABS(SUM(AA100:AA102))+ABS(SUM(AA103:AA105))+ABS(SUM(AA106:AA108))</f>
        <v>660</v>
      </c>
      <c r="AB109" s="98">
        <f>IF(AA109+AA119=0,0,IF(AA109=AA119,1,IF(AA109&gt;AA119,2,0)))</f>
        <v>2</v>
      </c>
      <c r="AC109" s="188">
        <f>ABS(SUM(AC97:AC99))+ABS(SUM(AC100:AC102))+ABS(SUM(AC103:AC105))+ABS(SUM(AC106:AC108))</f>
        <v>725</v>
      </c>
      <c r="AD109" s="98">
        <f>IF(AC109+AC119=0,0,IF(AC109=AC119,1,IF(AC109&gt;AC119,2,0)))</f>
        <v>2</v>
      </c>
      <c r="AE109" s="198">
        <f>SUM(U109+W109+Y109+AA109+AC109)</f>
        <v>3584</v>
      </c>
      <c r="AF109" s="12">
        <f>SUM(V109+X109+Z109+AB109+AD109)</f>
        <v>8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99"/>
        <v/>
      </c>
      <c r="D110" s="1" t="str">
        <f t="shared" si="99"/>
        <v/>
      </c>
      <c r="E110" s="23">
        <f>IF(V110="","",V110)</f>
        <v>5</v>
      </c>
      <c r="F110" s="1" t="str">
        <f t="shared" si="78"/>
        <v/>
      </c>
      <c r="G110" s="23">
        <f>IF(X110="","",X110)</f>
        <v>1</v>
      </c>
      <c r="H110" s="1" t="str">
        <f t="shared" si="79"/>
        <v/>
      </c>
      <c r="I110" s="23">
        <f>IF(Z110="","",Z110)</f>
        <v>5</v>
      </c>
      <c r="J110" s="1" t="str">
        <f t="shared" si="80"/>
        <v/>
      </c>
      <c r="K110" s="23">
        <f>IF(AB110="","",AB110)</f>
        <v>4</v>
      </c>
      <c r="L110" s="1" t="str">
        <f t="shared" si="81"/>
        <v/>
      </c>
      <c r="M110" s="23">
        <f>IF(AD110="","",AD110)</f>
        <v>4</v>
      </c>
      <c r="N110" s="1" t="str">
        <f t="shared" si="82"/>
        <v/>
      </c>
      <c r="O110" s="23">
        <f>IF(AF110="","",AF110)</f>
        <v>19</v>
      </c>
      <c r="S110" s="8" t="s">
        <v>1802</v>
      </c>
      <c r="T110" s="1"/>
      <c r="U110" s="1"/>
      <c r="V110" s="72">
        <f>SUM(V97:V109)</f>
        <v>5</v>
      </c>
      <c r="W110" s="1"/>
      <c r="X110" s="72">
        <f>SUM(X97:X109)</f>
        <v>1</v>
      </c>
      <c r="Y110" s="1"/>
      <c r="Z110" s="72">
        <f>SUM(Z97:Z109)</f>
        <v>5</v>
      </c>
      <c r="AA110" s="1"/>
      <c r="AB110" s="72">
        <f>SUM(AB97:AB109)</f>
        <v>4</v>
      </c>
      <c r="AC110" s="1"/>
      <c r="AD110" s="72">
        <f>SUM(AD97:AD109)</f>
        <v>4</v>
      </c>
      <c r="AE110" s="1"/>
      <c r="AF110" s="72">
        <f>SUM(AF97:AF109)</f>
        <v>19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19</v>
      </c>
      <c r="BB110" s="213">
        <f>AE109</f>
        <v>3584</v>
      </c>
      <c r="BC110" s="214">
        <f>+S92</f>
        <v>4</v>
      </c>
      <c r="BF110" s="215">
        <f>SUM(BF91:BF109)</f>
        <v>20</v>
      </c>
      <c r="BM110" s="212">
        <f>+BB110/1000000+BA110</f>
        <v>19.003584</v>
      </c>
      <c r="BN110" s="214">
        <f>RANK(BM110,BM:BM)</f>
        <v>1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K114" si="101">IF(S112=0,"",S112)</f>
        <v>Gegner-Nr.:</v>
      </c>
      <c r="C112" s="5" t="str">
        <f t="shared" si="101"/>
        <v>&gt;&gt;&gt;&gt;</v>
      </c>
      <c r="D112" s="350">
        <f t="shared" si="101"/>
        <v>6</v>
      </c>
      <c r="E112" s="350" t="str">
        <f t="shared" si="101"/>
        <v/>
      </c>
      <c r="F112" s="350">
        <f t="shared" si="101"/>
        <v>2</v>
      </c>
      <c r="G112" s="350" t="str">
        <f t="shared" si="101"/>
        <v/>
      </c>
      <c r="H112" s="350">
        <f t="shared" si="101"/>
        <v>1</v>
      </c>
      <c r="I112" s="350" t="str">
        <f t="shared" si="101"/>
        <v/>
      </c>
      <c r="J112" s="350">
        <f t="shared" si="101"/>
        <v>3</v>
      </c>
      <c r="K112" s="350" t="str">
        <f t="shared" si="101"/>
        <v/>
      </c>
      <c r="L112" s="350">
        <f t="shared" ref="L112:M114" si="102">IF(AC112=0,"",AC112)</f>
        <v>5</v>
      </c>
      <c r="M112" s="350" t="str">
        <f t="shared" si="102"/>
        <v/>
      </c>
      <c r="N112" s="351"/>
      <c r="O112" s="351"/>
      <c r="S112" s="13" t="s">
        <v>1789</v>
      </c>
      <c r="T112" s="5" t="s">
        <v>1790</v>
      </c>
      <c r="U112" s="369">
        <f>VLOOKUP($S92,Schlüssel!$A$5:$DG$10,63)</f>
        <v>6</v>
      </c>
      <c r="V112" s="370"/>
      <c r="W112" s="369">
        <f>VLOOKUP($S92,Schlüssel!$A$5:$EK$10,64)</f>
        <v>2</v>
      </c>
      <c r="X112" s="370"/>
      <c r="Y112" s="369">
        <f>VLOOKUP($S92,Schlüssel!$A$5:$EK$10,65)</f>
        <v>1</v>
      </c>
      <c r="Z112" s="370"/>
      <c r="AA112" s="369">
        <f>VLOOKUP($S92,Schlüssel!$A$5:$EK$10,66)</f>
        <v>3</v>
      </c>
      <c r="AB112" s="370"/>
      <c r="AC112" s="369">
        <f>VLOOKUP($S92,Schlüssel!$A$5:$EK$10,67)</f>
        <v>5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si="101"/>
        <v/>
      </c>
      <c r="C113" s="1" t="str">
        <f t="shared" si="101"/>
        <v/>
      </c>
      <c r="D113" s="347" t="str">
        <f t="shared" si="101"/>
        <v>Adler Nürnberg 1</v>
      </c>
      <c r="E113" s="348" t="str">
        <f t="shared" si="101"/>
        <v/>
      </c>
      <c r="F113" s="347" t="str">
        <f t="shared" si="101"/>
        <v>Herzogenaurach 1</v>
      </c>
      <c r="G113" s="348" t="str">
        <f t="shared" si="101"/>
        <v/>
      </c>
      <c r="H113" s="347" t="str">
        <f t="shared" si="101"/>
        <v>Castra Regina Regensburg 3</v>
      </c>
      <c r="I113" s="348" t="str">
        <f t="shared" si="101"/>
        <v/>
      </c>
      <c r="J113" s="347" t="str">
        <f t="shared" si="101"/>
        <v>Kings Club Bayreuth Land 2</v>
      </c>
      <c r="K113" s="348" t="str">
        <f t="shared" si="101"/>
        <v/>
      </c>
      <c r="L113" s="347" t="str">
        <f t="shared" si="102"/>
        <v>Castra Regina Regensburg 2</v>
      </c>
      <c r="M113" s="348" t="str">
        <f t="shared" si="102"/>
        <v/>
      </c>
      <c r="N113" s="349"/>
      <c r="O113" s="349"/>
      <c r="S113" s="4"/>
      <c r="T113" s="1"/>
      <c r="U113" s="347" t="str">
        <f>VLOOKUP(U112,Schlüssel!$A$5:$K$10,2)</f>
        <v>Adler Nürnberg 1</v>
      </c>
      <c r="V113" s="348"/>
      <c r="W113" s="347" t="str">
        <f>VLOOKUP(W112,Schlüssel!$A$5:$K$10,2)</f>
        <v>Herzogenaurach 1</v>
      </c>
      <c r="X113" s="348"/>
      <c r="Y113" s="347" t="str">
        <f>VLOOKUP(Y112,Schlüssel!$A$5:$K$10,2)</f>
        <v>Castra Regina Regensburg 3</v>
      </c>
      <c r="Z113" s="348"/>
      <c r="AA113" s="347" t="str">
        <f>VLOOKUP(AA112,Schlüssel!$A$5:$K$10,2)</f>
        <v>Kings Club Bayreuth Land 2</v>
      </c>
      <c r="AB113" s="348"/>
      <c r="AC113" s="347" t="str">
        <f>VLOOKUP(AC112,Schlüssel!$A$5:$K$10,2)</f>
        <v>Castra Regina Regensburg 2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1"/>
        <v/>
      </c>
      <c r="C114" s="1" t="str">
        <f t="shared" si="101"/>
        <v/>
      </c>
      <c r="D114" s="346" t="str">
        <f t="shared" si="101"/>
        <v/>
      </c>
      <c r="E114" s="346" t="str">
        <f t="shared" si="101"/>
        <v/>
      </c>
      <c r="F114" s="346" t="str">
        <f t="shared" si="101"/>
        <v/>
      </c>
      <c r="G114" s="346" t="str">
        <f t="shared" si="101"/>
        <v/>
      </c>
      <c r="H114" s="346" t="str">
        <f t="shared" si="101"/>
        <v/>
      </c>
      <c r="I114" s="346" t="str">
        <f t="shared" si="101"/>
        <v/>
      </c>
      <c r="J114" s="346" t="str">
        <f t="shared" si="101"/>
        <v/>
      </c>
      <c r="K114" s="346" t="str">
        <f t="shared" si="101"/>
        <v/>
      </c>
      <c r="L114" s="346" t="str">
        <f t="shared" si="102"/>
        <v/>
      </c>
      <c r="M114" s="346" t="str">
        <f t="shared" si="102"/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ref="B115:C119" si="103">IF(S115=0,"",S115)</f>
        <v>Spieler 1</v>
      </c>
      <c r="C115" s="372" t="str">
        <f t="shared" si="103"/>
        <v/>
      </c>
      <c r="D115" s="344">
        <f>IF(U115=301,"",U115)</f>
        <v>138</v>
      </c>
      <c r="E115" s="344" t="str">
        <f>IF(V115=0,"",V115)</f>
        <v/>
      </c>
      <c r="F115" s="344">
        <f>IF(W115=301,"",W115)</f>
        <v>162</v>
      </c>
      <c r="G115" s="344" t="str">
        <f>IF(X115=0,"",X115)</f>
        <v/>
      </c>
      <c r="H115" s="344">
        <f>IF(Y115=301,"",Y115)</f>
        <v>166</v>
      </c>
      <c r="I115" s="344" t="str">
        <f>IF(Z115=0,"",Z115)</f>
        <v/>
      </c>
      <c r="J115" s="344">
        <f>IF(AA115=301,"",AA115)</f>
        <v>154</v>
      </c>
      <c r="K115" s="344" t="str">
        <f>IF(AB115=0,"",AB115)</f>
        <v/>
      </c>
      <c r="L115" s="344">
        <f>IF(AC115=301,"",AC115)</f>
        <v>184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138</v>
      </c>
      <c r="V115" s="368"/>
      <c r="W115" s="367">
        <f>ABS(INDEX(W:W,MATCH(W112,$S:$S,0)+5)+INDEX(W:W,MATCH(W112,$S:$S,0)+6)+INDEX(W:W,MATCH(W112,$S:$S,0)+7))</f>
        <v>162</v>
      </c>
      <c r="X115" s="368"/>
      <c r="Y115" s="367">
        <f>ABS(INDEX(Y:Y,MATCH(Y112,$S:$S,0)+5)+INDEX(Y:Y,MATCH(Y112,$S:$S,0)+6)+INDEX(Y:Y,MATCH(Y112,$S:$S,0)+7))</f>
        <v>166</v>
      </c>
      <c r="Z115" s="368"/>
      <c r="AA115" s="367">
        <f>ABS(INDEX(AA:AA,MATCH(AA112,$S:$S,0)+5)+INDEX(AA:AA,MATCH(AA112,$S:$S,0)+6)+INDEX(AA:AA,MATCH(AA112,$S:$S,0)+7))</f>
        <v>154</v>
      </c>
      <c r="AB115" s="368"/>
      <c r="AC115" s="367">
        <f>ABS(INDEX(AC:AC,MATCH(AC112,$S:$S,0)+5)+INDEX(AC:AC,MATCH(AC112,$S:$S,0)+6)+INDEX(AC:AC,MATCH(AC112,$S:$S,0)+7))</f>
        <v>184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3"/>
        <v>Spieler 2</v>
      </c>
      <c r="C116" s="372" t="str">
        <f t="shared" si="103"/>
        <v/>
      </c>
      <c r="D116" s="344">
        <f>IF(U116=301,"",U116)</f>
        <v>139</v>
      </c>
      <c r="E116" s="344" t="str">
        <f>IF(V116=0,"",V116)</f>
        <v/>
      </c>
      <c r="F116" s="344">
        <f>IF(W116=301,"",W116)</f>
        <v>249</v>
      </c>
      <c r="G116" s="344" t="str">
        <f>IF(X116=0,"",X116)</f>
        <v/>
      </c>
      <c r="H116" s="344">
        <f>IF(Y116=301,"",Y116)</f>
        <v>176</v>
      </c>
      <c r="I116" s="344" t="str">
        <f>IF(Z116=0,"",Z116)</f>
        <v/>
      </c>
      <c r="J116" s="344">
        <f>IF(AA116=301,"",AA116)</f>
        <v>163</v>
      </c>
      <c r="K116" s="344" t="str">
        <f>IF(AB116=0,"",AB116)</f>
        <v/>
      </c>
      <c r="L116" s="344">
        <f>IF(AC116=301,"",AC116)</f>
        <v>135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139</v>
      </c>
      <c r="V116" s="366"/>
      <c r="W116" s="365">
        <f>ABS(INDEX(W:W,MATCH(W112,$S:$S,0)+8)+INDEX(W:W,MATCH(W112,$S:$S,0)+9)+INDEX(W:W,MATCH(W112,$S:$S,0)+10))</f>
        <v>249</v>
      </c>
      <c r="X116" s="366"/>
      <c r="Y116" s="365">
        <f>ABS(INDEX(Y:Y,MATCH(Y112,$S:$S,0)+8)+INDEX(Y:Y,MATCH(Y112,$S:$S,0)+9)+INDEX(Y:Y,MATCH(Y112,$S:$S,0)+10))</f>
        <v>176</v>
      </c>
      <c r="Z116" s="366"/>
      <c r="AA116" s="365">
        <f>ABS(INDEX(AA:AA,MATCH(AA112,$S:$S,0)+8)+INDEX(AA:AA,MATCH(AA112,$S:$S,0)+9)+INDEX(AA:AA,MATCH(AA112,$S:$S,0)+10))</f>
        <v>163</v>
      </c>
      <c r="AB116" s="366"/>
      <c r="AC116" s="365">
        <f>ABS(INDEX(AC:AC,MATCH(AC112,$S:$S,0)+8)+INDEX(AC:AC,MATCH(AC112,$S:$S,0)+9)+INDEX(AC:AC,MATCH(AC112,$S:$S,0)+10))</f>
        <v>135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3"/>
        <v>Spieler 3</v>
      </c>
      <c r="C117" s="372" t="str">
        <f t="shared" si="103"/>
        <v/>
      </c>
      <c r="D117" s="344">
        <f>IF(U117=301,"",U117)</f>
        <v>154</v>
      </c>
      <c r="E117" s="344" t="str">
        <f>IF(V117=0,"",V117)</f>
        <v/>
      </c>
      <c r="F117" s="344">
        <f>IF(W117=301,"",W117)</f>
        <v>190</v>
      </c>
      <c r="G117" s="344" t="str">
        <f>IF(X117=0,"",X117)</f>
        <v/>
      </c>
      <c r="H117" s="344">
        <f>IF(Y117=301,"",Y117)</f>
        <v>157</v>
      </c>
      <c r="I117" s="344" t="str">
        <f>IF(Z117=0,"",Z117)</f>
        <v/>
      </c>
      <c r="J117" s="344">
        <f>IF(AA117=301,"",AA117)</f>
        <v>113</v>
      </c>
      <c r="K117" s="344" t="str">
        <f>IF(AB117=0,"",AB117)</f>
        <v/>
      </c>
      <c r="L117" s="344">
        <f>IF(AC117=301,"",AC117)</f>
        <v>172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154</v>
      </c>
      <c r="V117" s="366"/>
      <c r="W117" s="365">
        <f>ABS(INDEX(W:W,MATCH(W112,$S:$S,0)+11)+INDEX(W:W,MATCH(W112,$S:$S,0)+12)+INDEX(W:W,MATCH(W112,$S:$S,0)+13))</f>
        <v>190</v>
      </c>
      <c r="X117" s="366"/>
      <c r="Y117" s="365">
        <f>ABS(INDEX(Y:Y,MATCH(Y112,$S:$S,0)+11)+INDEX(Y:Y,MATCH(Y112,$S:$S,0)+12)+INDEX(Y:Y,MATCH(Y112,$S:$S,0)+13))</f>
        <v>157</v>
      </c>
      <c r="Z117" s="366"/>
      <c r="AA117" s="365">
        <f>ABS(INDEX(AA:AA,MATCH(AA112,$S:$S,0)+11)+INDEX(AA:AA,MATCH(AA112,$S:$S,0)+12)+INDEX(AA:AA,MATCH(AA112,$S:$S,0)+13))</f>
        <v>113</v>
      </c>
      <c r="AB117" s="366"/>
      <c r="AC117" s="365">
        <f>ABS(INDEX(AC:AC,MATCH(AC112,$S:$S,0)+11)+INDEX(AC:AC,MATCH(AC112,$S:$S,0)+12)+INDEX(AC:AC,MATCH(AC112,$S:$S,0)+13))</f>
        <v>172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3"/>
        <v>Spieler 4</v>
      </c>
      <c r="C118" s="372" t="str">
        <f t="shared" si="103"/>
        <v/>
      </c>
      <c r="D118" s="344">
        <f>IF(U118=301,"",U118)</f>
        <v>173</v>
      </c>
      <c r="E118" s="344" t="str">
        <f>IF(V118=0,"",V118)</f>
        <v/>
      </c>
      <c r="F118" s="344">
        <f>IF(W118=301,"",W118)</f>
        <v>211</v>
      </c>
      <c r="G118" s="344" t="str">
        <f>IF(X118=0,"",X118)</f>
        <v/>
      </c>
      <c r="H118" s="344">
        <f>IF(Y118=301,"",Y118)</f>
        <v>168</v>
      </c>
      <c r="I118" s="344" t="str">
        <f>IF(Z118=0,"",Z118)</f>
        <v/>
      </c>
      <c r="J118" s="344">
        <f>IF(AA118=301,"",AA118)</f>
        <v>200</v>
      </c>
      <c r="K118" s="344" t="str">
        <f>IF(AB118=0,"",AB118)</f>
        <v/>
      </c>
      <c r="L118" s="344">
        <f>IF(AC118=301,"",AC118)</f>
        <v>185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173</v>
      </c>
      <c r="V118" s="366"/>
      <c r="W118" s="365">
        <f>ABS(INDEX(W:W,MATCH(W112,$S:$S,0)+14)+INDEX(W:W,MATCH(W112,$S:$S,0)+15)+INDEX(W:W,MATCH(W112,$S:$S,0)+16))</f>
        <v>211</v>
      </c>
      <c r="X118" s="366"/>
      <c r="Y118" s="365">
        <f>ABS(INDEX(Y:Y,MATCH(Y112,$S:$S,0)+14)+INDEX(Y:Y,MATCH(Y112,$S:$S,0)+15)+INDEX(Y:Y,MATCH(Y112,$S:$S,0)+16))</f>
        <v>168</v>
      </c>
      <c r="Z118" s="366"/>
      <c r="AA118" s="365">
        <f>ABS(INDEX(AA:AA,MATCH(AA112,$S:$S,0)+14)+INDEX(AA:AA,MATCH(AA112,$S:$S,0)+15)+INDEX(AA:AA,MATCH(AA112,$S:$S,0)+16))</f>
        <v>200</v>
      </c>
      <c r="AB118" s="366"/>
      <c r="AC118" s="365">
        <f>ABS(INDEX(AC:AC,MATCH(AC112,$S:$S,0)+14)+INDEX(AC:AC,MATCH(AC112,$S:$S,0)+15)+INDEX(AC:AC,MATCH(AC112,$S:$S,0)+16))</f>
        <v>185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3"/>
        <v>Gesamt</v>
      </c>
      <c r="C119" s="360" t="str">
        <f t="shared" si="103"/>
        <v/>
      </c>
      <c r="D119" s="343">
        <f>IF(U119=1505,"",U119)</f>
        <v>604</v>
      </c>
      <c r="E119" s="343" t="str">
        <f>IF(V119=0,"",V119)</f>
        <v/>
      </c>
      <c r="F119" s="343">
        <f>IF(W119=1505,"",W119)</f>
        <v>812</v>
      </c>
      <c r="G119" s="343" t="str">
        <f>IF(X119=0,"",X119)</f>
        <v/>
      </c>
      <c r="H119" s="343">
        <f>IF(Y119=1505,"",Y119)</f>
        <v>667</v>
      </c>
      <c r="I119" s="343" t="str">
        <f>IF(Z119=0,"",Z119)</f>
        <v/>
      </c>
      <c r="J119" s="343">
        <f>IF(AA119=1505,"",AA119)</f>
        <v>630</v>
      </c>
      <c r="K119" s="343" t="str">
        <f>IF(AB119=0,"",AB119)</f>
        <v/>
      </c>
      <c r="L119" s="343">
        <f>IF(AC119=1505,"",AC119)</f>
        <v>676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604</v>
      </c>
      <c r="V119" s="360"/>
      <c r="W119" s="359">
        <f>SUM(W115:W118)</f>
        <v>812</v>
      </c>
      <c r="X119" s="360"/>
      <c r="Y119" s="359">
        <f>SUM(Y115:Y118)</f>
        <v>667</v>
      </c>
      <c r="Z119" s="360"/>
      <c r="AA119" s="359">
        <f>SUM(AA115:AA118)</f>
        <v>630</v>
      </c>
      <c r="AB119" s="360"/>
      <c r="AC119" s="359">
        <f>SUM(AC115:AC118)</f>
        <v>676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 t="str">
        <f>Schlüssel!$BU$1</f>
        <v>02.03.</v>
      </c>
      <c r="N121" s="376"/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Schlüssel!$BU$1</f>
        <v>02.03.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">
        <v>1786</v>
      </c>
      <c r="E122" s="84" t="str">
        <f>V122</f>
        <v>Regensburg Super Bowl</v>
      </c>
      <c r="F122" s="77"/>
      <c r="G122" s="77"/>
      <c r="H122" s="77"/>
      <c r="I122" s="77"/>
      <c r="J122" s="77"/>
      <c r="K122" s="77"/>
      <c r="L122" s="29" t="str">
        <f>AC122</f>
        <v>Spieltag:</v>
      </c>
      <c r="M122" s="86">
        <f>AD122</f>
        <v>4</v>
      </c>
      <c r="N122" s="28"/>
      <c r="R122" s="49"/>
      <c r="S122" s="50">
        <v>5</v>
      </c>
      <c r="U122" s="30" t="s">
        <v>1786</v>
      </c>
      <c r="V122" s="84" t="str">
        <f>Schlüssel!$BK$2</f>
        <v>Regensburg Super Bowl</v>
      </c>
      <c r="X122" s="77"/>
      <c r="Y122" s="77"/>
      <c r="Z122" s="77"/>
      <c r="AA122" s="77"/>
      <c r="AB122" s="77"/>
      <c r="AC122" s="29" t="s">
        <v>1784</v>
      </c>
      <c r="AD122" s="34">
        <v>4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VLOOKUP(S122,Schlüssel!$A$5:$DZ$10,73)</f>
        <v>14</v>
      </c>
      <c r="W124" s="193" t="s">
        <v>10</v>
      </c>
      <c r="X124" s="191">
        <f>VLOOKUP(S122,Schlüssel!$A$5:$DZ$10,74)</f>
        <v>11</v>
      </c>
      <c r="Y124" s="193" t="s">
        <v>10</v>
      </c>
      <c r="Z124" s="191">
        <f>VLOOKUP(S122,Schlüssel!$A$5:$DZ$10,75)</f>
        <v>15</v>
      </c>
      <c r="AA124" s="193" t="s">
        <v>10</v>
      </c>
      <c r="AB124" s="191">
        <f>VLOOKUP(S122,Schlüssel!$A$5:$DZ$10,76)</f>
        <v>13</v>
      </c>
      <c r="AC124" s="193" t="s">
        <v>10</v>
      </c>
      <c r="AD124" s="192">
        <f>VLOOKUP(S122,Schlüssel!$A$5:$DZ$10,77)</f>
        <v>16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>Simon, Steven</v>
      </c>
      <c r="C127" s="18">
        <f>IF(T127=0,"",T127)</f>
        <v>38571</v>
      </c>
      <c r="D127" s="14">
        <f>IF(U127=0,"",U127)</f>
        <v>230</v>
      </c>
      <c r="E127" s="352">
        <f>IF(V127="","",V127)</f>
        <v>1</v>
      </c>
      <c r="F127" s="14">
        <f t="shared" ref="F127:F140" si="104">IF(W127=0,"",W127)</f>
        <v>232</v>
      </c>
      <c r="G127" s="352">
        <f>IF(X127="","",X127)</f>
        <v>1</v>
      </c>
      <c r="H127" s="14">
        <f t="shared" ref="H127:H140" si="105">IF(Y127=0,"",Y127)</f>
        <v>184</v>
      </c>
      <c r="I127" s="352">
        <f>IF(Z127="","",Z127)</f>
        <v>1</v>
      </c>
      <c r="J127" s="14">
        <f t="shared" ref="J127:J140" si="106">IF(AA127=0,"",AA127)</f>
        <v>188</v>
      </c>
      <c r="K127" s="352">
        <f>IF(AB127="","",AB127)</f>
        <v>0</v>
      </c>
      <c r="L127" s="14">
        <f t="shared" ref="L127:L140" si="107">IF(AC127=0,"",AC127)</f>
        <v>184</v>
      </c>
      <c r="M127" s="352">
        <f>IF(AD127="","",AD127)</f>
        <v>1</v>
      </c>
      <c r="N127" s="14">
        <f t="shared" ref="N127:N140" si="108">IF(AE127=0,"",AE127)</f>
        <v>1018</v>
      </c>
      <c r="O127" s="352">
        <f>IF(AF127="","",AF127)</f>
        <v>4</v>
      </c>
      <c r="R127" s="355" t="s">
        <v>0</v>
      </c>
      <c r="S127" s="68" t="str">
        <f>IF(T127=0,"",VLOOKUP(T127,Starter!$A$1:$D$196,2,FALSE))</f>
        <v>Simon, Steven</v>
      </c>
      <c r="T127" s="175">
        <v>38571</v>
      </c>
      <c r="U127" s="183">
        <v>230</v>
      </c>
      <c r="V127" s="95">
        <f>IF(SUM(U127:U129)+U145=0,0,IF(ABS(SUM(U127:U129))=U145,0.5,IF(ABS(SUM(U127:U129))&gt;U145,1,0)))</f>
        <v>1</v>
      </c>
      <c r="W127" s="183">
        <v>232</v>
      </c>
      <c r="X127" s="95">
        <f>IF(SUM(W127:W129)+W145=0,0,IF(ABS(SUM(W127:W129))=W145,0.5,IF(ABS(SUM(W127:W129))&gt;W145,1,0)))</f>
        <v>1</v>
      </c>
      <c r="Y127" s="183">
        <v>184</v>
      </c>
      <c r="Z127" s="95">
        <f>IF(SUM(Y127:Y129)+Y145=0,0,IF(ABS(SUM(Y127:Y129))=Y145,0.5,IF(ABS(SUM(Y127:Y129))&gt;Y145,1,0)))</f>
        <v>1</v>
      </c>
      <c r="AA127" s="189">
        <v>188</v>
      </c>
      <c r="AB127" s="95">
        <f>IF(SUM(AA127:AA129)+AA145=0,0,IF(ABS(SUM(AA127:AA129))=AA145,0.5,IF(ABS(SUM(AA127:AA129))&gt;AA145,1,0)))</f>
        <v>0</v>
      </c>
      <c r="AC127" s="183">
        <v>184</v>
      </c>
      <c r="AD127" s="95">
        <f>IF(SUM(AC127:AC129)+AC145=0,0,IF(ABS(SUM(AC127:AC129))=AC145,0.5,IF(ABS(SUM(AC127:AC129))&gt;AC145,1,0)))</f>
        <v>1</v>
      </c>
      <c r="AE127" s="195">
        <f t="shared" ref="AE127:AE138" si="109">ABS(SUM(U127:U127))+ABS(SUM(W127:W127))+ABS(SUM(Y127:Y127))+ABS(SUM(AA127:AA127))+ABS(SUM(AC127:AC127))</f>
        <v>1018</v>
      </c>
      <c r="AF127" s="180">
        <f>SUM(V127+X127+Z127+AB127+AD127)</f>
        <v>4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0">T127</f>
        <v>38571</v>
      </c>
      <c r="BE127" s="213">
        <f t="shared" ref="BE127:BE138" si="111">AE127</f>
        <v>1018</v>
      </c>
      <c r="BF127" s="215">
        <f t="shared" ref="BF127:BF138" si="112">COUNT(BH127:BL127)</f>
        <v>5</v>
      </c>
      <c r="BG127" s="215">
        <f t="shared" ref="BG127:BG138" si="113">COUNTIF(BH127:BL127,"&gt;0")</f>
        <v>5</v>
      </c>
      <c r="BH127" s="215">
        <f t="shared" ref="BH127:BH138" si="114">IF(U127=0,"",U127)</f>
        <v>230</v>
      </c>
      <c r="BI127" s="215">
        <f t="shared" ref="BI127:BI138" si="115">IF(W127=0,"",W127)</f>
        <v>232</v>
      </c>
      <c r="BJ127" s="215">
        <f t="shared" ref="BJ127:BJ138" si="116">IF(Y127=0,"",Y127)</f>
        <v>184</v>
      </c>
      <c r="BK127" s="215">
        <f t="shared" ref="BK127:BK138" si="117">IF(AA127=0,"",AA127)</f>
        <v>188</v>
      </c>
      <c r="BL127" s="215">
        <f t="shared" ref="BL127:BL138" si="118">IF(AC127=0,"",AC127)</f>
        <v>184</v>
      </c>
      <c r="BM127" s="216"/>
      <c r="BN127" s="214"/>
      <c r="BO127" s="215">
        <f t="shared" ref="BO127:BO138" si="119">MAX(BH127:BL127)</f>
        <v>232</v>
      </c>
      <c r="BP127" s="215">
        <f t="shared" ref="BP127:BP138" si="120">IF(BO127&lt;MAX(BO:BO),0,BO127+ROW()/1000000000)</f>
        <v>0</v>
      </c>
      <c r="BQ127" s="215" t="str">
        <f>+S123</f>
        <v>Castra Regina Regensburg 2</v>
      </c>
      <c r="BR127" s="214">
        <f t="shared" ref="BR127:BR138" si="121">RANK(BP127,BP:BP)</f>
        <v>2</v>
      </c>
      <c r="BS127" s="215">
        <f t="shared" ref="BS127:BS138" si="122">SUMIF(BH127:BL127,"&gt;0")</f>
        <v>1018</v>
      </c>
      <c r="BT127" s="215">
        <f>IF(COUNTIF(BH127:BL127,"&gt;0")&lt;Spielorte!$A$23,0,BE127/Spielorte!$A$23)</f>
        <v>203.6</v>
      </c>
      <c r="BU127" s="215">
        <f t="shared" ref="BU127:BU138" si="123">IF(BT127&lt;MAX(BT:BT),0,BT127+ROW()/1000000000)</f>
        <v>0</v>
      </c>
      <c r="BV127" s="214">
        <f t="shared" ref="BV127:BV138" si="124">IF(BU127=0,0,RANK(BU127,BU:BU))</f>
        <v>0</v>
      </c>
    </row>
    <row r="128" spans="1:74" ht="17.100000000000001" customHeight="1" x14ac:dyDescent="0.2">
      <c r="A128" s="374"/>
      <c r="B128" s="19" t="str">
        <f t="shared" ref="B128:D140" si="125">IF(S128=0,"",S128)</f>
        <v/>
      </c>
      <c r="C128" s="20" t="str">
        <f t="shared" si="125"/>
        <v/>
      </c>
      <c r="D128" s="15" t="str">
        <f t="shared" si="125"/>
        <v/>
      </c>
      <c r="E128" s="353"/>
      <c r="F128" s="15" t="str">
        <f t="shared" si="104"/>
        <v/>
      </c>
      <c r="G128" s="353"/>
      <c r="H128" s="15" t="str">
        <f t="shared" si="105"/>
        <v/>
      </c>
      <c r="I128" s="353"/>
      <c r="J128" s="15" t="str">
        <f t="shared" si="106"/>
        <v/>
      </c>
      <c r="K128" s="353"/>
      <c r="L128" s="15" t="str">
        <f t="shared" si="107"/>
        <v/>
      </c>
      <c r="M128" s="353"/>
      <c r="N128" s="15" t="str">
        <f t="shared" si="108"/>
        <v/>
      </c>
      <c r="O128" s="353"/>
      <c r="R128" s="356"/>
      <c r="S128" s="68" t="str">
        <f>IF(T128=0,"",VLOOKUP(T128,Starter!$A$1:$D$196,2,FALSE))</f>
        <v/>
      </c>
      <c r="T128" s="176"/>
      <c r="U128" s="184"/>
      <c r="V128" s="96"/>
      <c r="W128" s="184"/>
      <c r="X128" s="96"/>
      <c r="Y128" s="184"/>
      <c r="Z128" s="96"/>
      <c r="AA128" s="184"/>
      <c r="AB128" s="96"/>
      <c r="AC128" s="184"/>
      <c r="AD128" s="96"/>
      <c r="AE128" s="196">
        <f t="shared" si="109"/>
        <v>0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0"/>
        <v>0</v>
      </c>
      <c r="BE128" s="213">
        <f t="shared" si="111"/>
        <v>0</v>
      </c>
      <c r="BF128" s="215">
        <f t="shared" si="112"/>
        <v>0</v>
      </c>
      <c r="BG128" s="215">
        <f t="shared" si="113"/>
        <v>0</v>
      </c>
      <c r="BH128" s="215" t="str">
        <f t="shared" si="114"/>
        <v/>
      </c>
      <c r="BI128" s="215" t="str">
        <f t="shared" si="115"/>
        <v/>
      </c>
      <c r="BJ128" s="215" t="str">
        <f t="shared" si="116"/>
        <v/>
      </c>
      <c r="BK128" s="215" t="str">
        <f t="shared" si="117"/>
        <v/>
      </c>
      <c r="BL128" s="215" t="str">
        <f t="shared" si="118"/>
        <v/>
      </c>
      <c r="BM128" s="216"/>
      <c r="BN128" s="214"/>
      <c r="BO128" s="215">
        <f t="shared" si="119"/>
        <v>0</v>
      </c>
      <c r="BP128" s="215">
        <f t="shared" si="120"/>
        <v>0</v>
      </c>
      <c r="BQ128" s="215" t="str">
        <f t="shared" ref="BQ128:BQ138" si="126">+BQ127</f>
        <v>Castra Regina Regensburg 2</v>
      </c>
      <c r="BR128" s="214">
        <f t="shared" si="121"/>
        <v>2</v>
      </c>
      <c r="BS128" s="215">
        <f t="shared" si="122"/>
        <v>0</v>
      </c>
      <c r="BT128" s="215">
        <f>IF(COUNTIF(BH128:BL128,"&gt;0")&lt;Spielorte!$A$23,0,BE128/Spielorte!$A$23)</f>
        <v>0</v>
      </c>
      <c r="BU128" s="215">
        <f t="shared" si="123"/>
        <v>0</v>
      </c>
      <c r="BV128" s="214">
        <f t="shared" si="124"/>
        <v>0</v>
      </c>
    </row>
    <row r="129" spans="1:74" ht="17.100000000000001" customHeight="1" thickBot="1" x14ac:dyDescent="0.25">
      <c r="A129" s="375"/>
      <c r="B129" s="21" t="str">
        <f t="shared" si="125"/>
        <v/>
      </c>
      <c r="C129" s="22" t="str">
        <f t="shared" si="125"/>
        <v/>
      </c>
      <c r="D129" s="9" t="str">
        <f t="shared" si="125"/>
        <v/>
      </c>
      <c r="E129" s="354"/>
      <c r="F129" s="9" t="str">
        <f t="shared" si="104"/>
        <v/>
      </c>
      <c r="G129" s="354"/>
      <c r="H129" s="9" t="str">
        <f t="shared" si="105"/>
        <v/>
      </c>
      <c r="I129" s="354"/>
      <c r="J129" s="9" t="str">
        <f t="shared" si="106"/>
        <v/>
      </c>
      <c r="K129" s="354"/>
      <c r="L129" s="9" t="str">
        <f t="shared" si="107"/>
        <v/>
      </c>
      <c r="M129" s="354"/>
      <c r="N129" s="9" t="str">
        <f t="shared" si="108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09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0"/>
        <v>0</v>
      </c>
      <c r="BE129" s="213">
        <f t="shared" si="111"/>
        <v>0</v>
      </c>
      <c r="BF129" s="215">
        <f t="shared" si="112"/>
        <v>0</v>
      </c>
      <c r="BG129" s="215">
        <f t="shared" si="113"/>
        <v>0</v>
      </c>
      <c r="BH129" s="215" t="str">
        <f t="shared" si="114"/>
        <v/>
      </c>
      <c r="BI129" s="215" t="str">
        <f t="shared" si="115"/>
        <v/>
      </c>
      <c r="BJ129" s="215" t="str">
        <f t="shared" si="116"/>
        <v/>
      </c>
      <c r="BK129" s="215" t="str">
        <f t="shared" si="117"/>
        <v/>
      </c>
      <c r="BL129" s="215" t="str">
        <f t="shared" si="118"/>
        <v/>
      </c>
      <c r="BM129" s="216"/>
      <c r="BN129" s="214"/>
      <c r="BO129" s="215">
        <f t="shared" si="119"/>
        <v>0</v>
      </c>
      <c r="BP129" s="215">
        <f t="shared" si="120"/>
        <v>0</v>
      </c>
      <c r="BQ129" s="215" t="str">
        <f t="shared" si="126"/>
        <v>Castra Regina Regensburg 2</v>
      </c>
      <c r="BR129" s="214">
        <f t="shared" si="121"/>
        <v>2</v>
      </c>
      <c r="BS129" s="215">
        <f t="shared" si="122"/>
        <v>0</v>
      </c>
      <c r="BT129" s="215">
        <f>IF(COUNTIF(BH129:BL129,"&gt;0")&lt;Spielorte!$A$23,0,BE129/Spielorte!$A$23)</f>
        <v>0</v>
      </c>
      <c r="BU129" s="215">
        <f t="shared" si="123"/>
        <v>0</v>
      </c>
      <c r="BV129" s="214">
        <f t="shared" si="124"/>
        <v>0</v>
      </c>
    </row>
    <row r="130" spans="1:74" ht="17.100000000000001" customHeight="1" x14ac:dyDescent="0.2">
      <c r="A130" s="373" t="s">
        <v>2</v>
      </c>
      <c r="B130" s="17" t="str">
        <f t="shared" si="125"/>
        <v>Martin, Dennis</v>
      </c>
      <c r="C130" s="18">
        <f t="shared" si="125"/>
        <v>38870</v>
      </c>
      <c r="D130" s="14">
        <f t="shared" si="125"/>
        <v>143</v>
      </c>
      <c r="E130" s="352">
        <f>IF(V130="","",V130)</f>
        <v>0</v>
      </c>
      <c r="F130" s="14">
        <f t="shared" si="104"/>
        <v>165</v>
      </c>
      <c r="G130" s="352">
        <f>IF(X130="","",X130)</f>
        <v>0</v>
      </c>
      <c r="H130" s="14">
        <f t="shared" si="105"/>
        <v>202</v>
      </c>
      <c r="I130" s="352">
        <f>IF(Z130="","",Z130)</f>
        <v>1</v>
      </c>
      <c r="J130" s="14">
        <f t="shared" si="106"/>
        <v>189</v>
      </c>
      <c r="K130" s="352">
        <f>IF(AB130="","",AB130)</f>
        <v>1</v>
      </c>
      <c r="L130" s="14">
        <f t="shared" si="107"/>
        <v>135</v>
      </c>
      <c r="M130" s="352">
        <f>IF(AD130="","",AD130)</f>
        <v>0</v>
      </c>
      <c r="N130" s="14">
        <f t="shared" si="108"/>
        <v>834</v>
      </c>
      <c r="O130" s="352">
        <f>IF(AF130="","",AF130)</f>
        <v>2</v>
      </c>
      <c r="R130" s="355" t="s">
        <v>2</v>
      </c>
      <c r="S130" s="68" t="str">
        <f>IF(T130=0,"",VLOOKUP(T130,Starter!$A$1:$D$196,2,FALSE))</f>
        <v>Martin, Dennis</v>
      </c>
      <c r="T130" s="178">
        <v>38870</v>
      </c>
      <c r="U130" s="186">
        <v>143</v>
      </c>
      <c r="V130" s="95">
        <f>IF(SUM(U130:U132)+U146=0,0,IF(ABS(SUM(U130:U132))=U146,0.5,IF(ABS(SUM(U130:U132))&gt;U146,1,0)))</f>
        <v>0</v>
      </c>
      <c r="W130" s="186">
        <v>165</v>
      </c>
      <c r="X130" s="95">
        <f>IF(SUM(W130:W132)+W146=0,0,IF(ABS(SUM(W130:W132))=W146,0.5,IF(ABS(SUM(W130:W132))&gt;W146,1,0)))</f>
        <v>0</v>
      </c>
      <c r="Y130" s="186">
        <v>202</v>
      </c>
      <c r="Z130" s="95">
        <f>IF(SUM(Y130:Y132)+Y146=0,0,IF(ABS(SUM(Y130:Y132))=Y146,0.5,IF(ABS(SUM(Y130:Y132))&gt;Y146,1,0)))</f>
        <v>1</v>
      </c>
      <c r="AA130" s="186">
        <v>189</v>
      </c>
      <c r="AB130" s="95">
        <f>IF(SUM(AA130:AA132)+AA146=0,0,IF(ABS(SUM(AA130:AA132))=AA146,0.5,IF(ABS(SUM(AA130:AA132))&gt;AA146,1,0)))</f>
        <v>1</v>
      </c>
      <c r="AC130" s="186">
        <v>135</v>
      </c>
      <c r="AD130" s="95">
        <f>IF(SUM(AC130:AC132)+AC146=0,0,IF(ABS(SUM(AC130:AC132))=AC146,0.5,IF(ABS(SUM(AC130:AC132))&gt;AC146,1,0)))</f>
        <v>0</v>
      </c>
      <c r="AE130" s="195">
        <f t="shared" si="109"/>
        <v>834</v>
      </c>
      <c r="AF130" s="180">
        <f>SUM(V130+X130+Z130+AB130+AD130)</f>
        <v>2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0"/>
        <v>38870</v>
      </c>
      <c r="BE130" s="213">
        <f t="shared" si="111"/>
        <v>834</v>
      </c>
      <c r="BF130" s="215">
        <f t="shared" si="112"/>
        <v>5</v>
      </c>
      <c r="BG130" s="215">
        <f t="shared" si="113"/>
        <v>5</v>
      </c>
      <c r="BH130" s="215">
        <f t="shared" si="114"/>
        <v>143</v>
      </c>
      <c r="BI130" s="215">
        <f t="shared" si="115"/>
        <v>165</v>
      </c>
      <c r="BJ130" s="215">
        <f t="shared" si="116"/>
        <v>202</v>
      </c>
      <c r="BK130" s="215">
        <f t="shared" si="117"/>
        <v>189</v>
      </c>
      <c r="BL130" s="215">
        <f t="shared" si="118"/>
        <v>135</v>
      </c>
      <c r="BM130" s="216"/>
      <c r="BN130" s="214"/>
      <c r="BO130" s="215">
        <f t="shared" si="119"/>
        <v>202</v>
      </c>
      <c r="BP130" s="215">
        <f t="shared" si="120"/>
        <v>0</v>
      </c>
      <c r="BQ130" s="215" t="str">
        <f t="shared" si="126"/>
        <v>Castra Regina Regensburg 2</v>
      </c>
      <c r="BR130" s="214">
        <f t="shared" si="121"/>
        <v>2</v>
      </c>
      <c r="BS130" s="215">
        <f t="shared" si="122"/>
        <v>834</v>
      </c>
      <c r="BT130" s="215">
        <f>IF(COUNTIF(BH130:BL130,"&gt;0")&lt;Spielorte!$A$23,0,BE130/Spielorte!$A$23)</f>
        <v>166.8</v>
      </c>
      <c r="BU130" s="215">
        <f t="shared" si="123"/>
        <v>0</v>
      </c>
      <c r="BV130" s="214">
        <f t="shared" si="124"/>
        <v>0</v>
      </c>
    </row>
    <row r="131" spans="1:74" ht="17.100000000000001" customHeight="1" x14ac:dyDescent="0.2">
      <c r="A131" s="374"/>
      <c r="B131" s="19" t="str">
        <f t="shared" si="125"/>
        <v/>
      </c>
      <c r="C131" s="20" t="str">
        <f t="shared" si="125"/>
        <v/>
      </c>
      <c r="D131" s="15" t="str">
        <f t="shared" si="125"/>
        <v/>
      </c>
      <c r="E131" s="353"/>
      <c r="F131" s="15" t="str">
        <f t="shared" si="104"/>
        <v/>
      </c>
      <c r="G131" s="353"/>
      <c r="H131" s="15" t="str">
        <f t="shared" si="105"/>
        <v/>
      </c>
      <c r="I131" s="353"/>
      <c r="J131" s="15" t="str">
        <f t="shared" si="106"/>
        <v/>
      </c>
      <c r="K131" s="353"/>
      <c r="L131" s="15" t="str">
        <f t="shared" si="107"/>
        <v/>
      </c>
      <c r="M131" s="353"/>
      <c r="N131" s="15" t="str">
        <f t="shared" si="108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09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0"/>
        <v>0</v>
      </c>
      <c r="BE131" s="213">
        <f t="shared" si="111"/>
        <v>0</v>
      </c>
      <c r="BF131" s="215">
        <f t="shared" si="112"/>
        <v>0</v>
      </c>
      <c r="BG131" s="215">
        <f t="shared" si="113"/>
        <v>0</v>
      </c>
      <c r="BH131" s="215" t="str">
        <f t="shared" si="114"/>
        <v/>
      </c>
      <c r="BI131" s="215" t="str">
        <f t="shared" si="115"/>
        <v/>
      </c>
      <c r="BJ131" s="215" t="str">
        <f t="shared" si="116"/>
        <v/>
      </c>
      <c r="BK131" s="215" t="str">
        <f t="shared" si="117"/>
        <v/>
      </c>
      <c r="BL131" s="215" t="str">
        <f t="shared" si="118"/>
        <v/>
      </c>
      <c r="BM131" s="216"/>
      <c r="BN131" s="214"/>
      <c r="BO131" s="215">
        <f t="shared" si="119"/>
        <v>0</v>
      </c>
      <c r="BP131" s="215">
        <f t="shared" si="120"/>
        <v>0</v>
      </c>
      <c r="BQ131" s="215" t="str">
        <f t="shared" si="126"/>
        <v>Castra Regina Regensburg 2</v>
      </c>
      <c r="BR131" s="214">
        <f t="shared" si="121"/>
        <v>2</v>
      </c>
      <c r="BS131" s="215">
        <f t="shared" si="122"/>
        <v>0</v>
      </c>
      <c r="BT131" s="215">
        <f>IF(COUNTIF(BH131:BL131,"&gt;0")&lt;Spielorte!$A$23,0,BE131/Spielorte!$A$23)</f>
        <v>0</v>
      </c>
      <c r="BU131" s="215">
        <f t="shared" si="123"/>
        <v>0</v>
      </c>
      <c r="BV131" s="214">
        <f t="shared" si="124"/>
        <v>0</v>
      </c>
    </row>
    <row r="132" spans="1:74" ht="17.100000000000001" customHeight="1" thickBot="1" x14ac:dyDescent="0.25">
      <c r="A132" s="375"/>
      <c r="B132" s="21" t="str">
        <f t="shared" si="125"/>
        <v/>
      </c>
      <c r="C132" s="22" t="str">
        <f t="shared" si="125"/>
        <v/>
      </c>
      <c r="D132" s="9" t="str">
        <f t="shared" si="125"/>
        <v/>
      </c>
      <c r="E132" s="354"/>
      <c r="F132" s="9" t="str">
        <f t="shared" si="104"/>
        <v/>
      </c>
      <c r="G132" s="354"/>
      <c r="H132" s="9" t="str">
        <f t="shared" si="105"/>
        <v/>
      </c>
      <c r="I132" s="354"/>
      <c r="J132" s="9" t="str">
        <f t="shared" si="106"/>
        <v/>
      </c>
      <c r="K132" s="354"/>
      <c r="L132" s="9" t="str">
        <f t="shared" si="107"/>
        <v/>
      </c>
      <c r="M132" s="354"/>
      <c r="N132" s="9" t="str">
        <f t="shared" si="108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09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0"/>
        <v>0</v>
      </c>
      <c r="BE132" s="213">
        <f t="shared" si="111"/>
        <v>0</v>
      </c>
      <c r="BF132" s="215">
        <f t="shared" si="112"/>
        <v>0</v>
      </c>
      <c r="BG132" s="215">
        <f t="shared" si="113"/>
        <v>0</v>
      </c>
      <c r="BH132" s="215" t="str">
        <f t="shared" si="114"/>
        <v/>
      </c>
      <c r="BI132" s="215" t="str">
        <f t="shared" si="115"/>
        <v/>
      </c>
      <c r="BJ132" s="215" t="str">
        <f t="shared" si="116"/>
        <v/>
      </c>
      <c r="BK132" s="215" t="str">
        <f t="shared" si="117"/>
        <v/>
      </c>
      <c r="BL132" s="215" t="str">
        <f t="shared" si="118"/>
        <v/>
      </c>
      <c r="BM132" s="216"/>
      <c r="BN132" s="214"/>
      <c r="BO132" s="215">
        <f t="shared" si="119"/>
        <v>0</v>
      </c>
      <c r="BP132" s="215">
        <f t="shared" si="120"/>
        <v>0</v>
      </c>
      <c r="BQ132" s="215" t="str">
        <f t="shared" si="126"/>
        <v>Castra Regina Regensburg 2</v>
      </c>
      <c r="BR132" s="214">
        <f t="shared" si="121"/>
        <v>2</v>
      </c>
      <c r="BS132" s="215">
        <f t="shared" si="122"/>
        <v>0</v>
      </c>
      <c r="BT132" s="215">
        <f>IF(COUNTIF(BH132:BL132,"&gt;0")&lt;Spielorte!$A$23,0,BE132/Spielorte!$A$23)</f>
        <v>0</v>
      </c>
      <c r="BU132" s="215">
        <f t="shared" si="123"/>
        <v>0</v>
      </c>
      <c r="BV132" s="214">
        <f t="shared" si="124"/>
        <v>0</v>
      </c>
    </row>
    <row r="133" spans="1:74" ht="17.100000000000001" customHeight="1" x14ac:dyDescent="0.2">
      <c r="A133" s="373" t="s">
        <v>3</v>
      </c>
      <c r="B133" s="17" t="str">
        <f t="shared" si="125"/>
        <v>Bothe, Thomas</v>
      </c>
      <c r="C133" s="18">
        <f t="shared" si="125"/>
        <v>25723</v>
      </c>
      <c r="D133" s="14">
        <f t="shared" si="125"/>
        <v>176</v>
      </c>
      <c r="E133" s="352">
        <f>IF(V133="","",V133)</f>
        <v>1</v>
      </c>
      <c r="F133" s="14">
        <f t="shared" si="104"/>
        <v>164</v>
      </c>
      <c r="G133" s="352">
        <f>IF(X133="","",X133)</f>
        <v>0</v>
      </c>
      <c r="H133" s="14">
        <f t="shared" si="105"/>
        <v>207</v>
      </c>
      <c r="I133" s="352">
        <f>IF(Z133="","",Z133)</f>
        <v>0</v>
      </c>
      <c r="J133" s="14">
        <f t="shared" si="106"/>
        <v>187</v>
      </c>
      <c r="K133" s="352">
        <f>IF(AB133="","",AB133)</f>
        <v>1</v>
      </c>
      <c r="L133" s="14">
        <f t="shared" si="107"/>
        <v>172</v>
      </c>
      <c r="M133" s="352">
        <f>IF(AD133="","",AD133)</f>
        <v>1</v>
      </c>
      <c r="N133" s="14">
        <f t="shared" si="108"/>
        <v>906</v>
      </c>
      <c r="O133" s="352">
        <f>IF(AF133="","",AF133)</f>
        <v>3</v>
      </c>
      <c r="R133" s="355" t="s">
        <v>3</v>
      </c>
      <c r="S133" s="68" t="str">
        <f>IF(T133=0,"",VLOOKUP(T133,Starter!$A$1:$D$196,2,FALSE))</f>
        <v>Bothe, Thomas</v>
      </c>
      <c r="T133" s="178">
        <v>25723</v>
      </c>
      <c r="U133" s="186">
        <v>176</v>
      </c>
      <c r="V133" s="95">
        <f>IF(SUM(U133:U135)+U147=0,0,IF(ABS(SUM(U133:U135))=U147,0.5,IF(ABS(SUM(U133:U135))&gt;U147,1,0)))</f>
        <v>1</v>
      </c>
      <c r="W133" s="186">
        <v>164</v>
      </c>
      <c r="X133" s="95">
        <f>IF(SUM(W133:W135)+W147=0,0,IF(ABS(SUM(W133:W135))=W147,0.5,IF(ABS(SUM(W133:W135))&gt;W147,1,0)))</f>
        <v>0</v>
      </c>
      <c r="Y133" s="186">
        <v>207</v>
      </c>
      <c r="Z133" s="95">
        <f>IF(SUM(Y133:Y135)+Y147=0,0,IF(ABS(SUM(Y133:Y135))=Y147,0.5,IF(ABS(SUM(Y133:Y135))&gt;Y147,1,0)))</f>
        <v>0</v>
      </c>
      <c r="AA133" s="186">
        <v>187</v>
      </c>
      <c r="AB133" s="95">
        <f>IF(SUM(AA133:AA135)+AA147=0,0,IF(ABS(SUM(AA133:AA135))=AA147,0.5,IF(ABS(SUM(AA133:AA135))&gt;AA147,1,0)))</f>
        <v>1</v>
      </c>
      <c r="AC133" s="186">
        <v>172</v>
      </c>
      <c r="AD133" s="95">
        <f>IF(SUM(AC133:AC135)+AC147=0,0,IF(ABS(SUM(AC133:AC135))=AC147,0.5,IF(ABS(SUM(AC133:AC135))&gt;AC147,1,0)))</f>
        <v>1</v>
      </c>
      <c r="AE133" s="195">
        <f t="shared" si="109"/>
        <v>906</v>
      </c>
      <c r="AF133" s="180">
        <f>SUM(V133+X133+Z133+AB133+AD133)</f>
        <v>3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0"/>
        <v>25723</v>
      </c>
      <c r="BE133" s="213">
        <f t="shared" si="111"/>
        <v>906</v>
      </c>
      <c r="BF133" s="215">
        <f t="shared" si="112"/>
        <v>5</v>
      </c>
      <c r="BG133" s="215">
        <f t="shared" si="113"/>
        <v>5</v>
      </c>
      <c r="BH133" s="215">
        <f t="shared" si="114"/>
        <v>176</v>
      </c>
      <c r="BI133" s="215">
        <f t="shared" si="115"/>
        <v>164</v>
      </c>
      <c r="BJ133" s="215">
        <f t="shared" si="116"/>
        <v>207</v>
      </c>
      <c r="BK133" s="215">
        <f t="shared" si="117"/>
        <v>187</v>
      </c>
      <c r="BL133" s="215">
        <f t="shared" si="118"/>
        <v>172</v>
      </c>
      <c r="BM133" s="216"/>
      <c r="BN133" s="214"/>
      <c r="BO133" s="215">
        <f t="shared" si="119"/>
        <v>207</v>
      </c>
      <c r="BP133" s="215">
        <f t="shared" si="120"/>
        <v>0</v>
      </c>
      <c r="BQ133" s="215" t="str">
        <f t="shared" si="126"/>
        <v>Castra Regina Regensburg 2</v>
      </c>
      <c r="BR133" s="214">
        <f t="shared" si="121"/>
        <v>2</v>
      </c>
      <c r="BS133" s="215">
        <f t="shared" si="122"/>
        <v>906</v>
      </c>
      <c r="BT133" s="215">
        <f>IF(COUNTIF(BH133:BL133,"&gt;0")&lt;Spielorte!$A$23,0,BE133/Spielorte!$A$23)</f>
        <v>181.2</v>
      </c>
      <c r="BU133" s="215">
        <f t="shared" si="123"/>
        <v>0</v>
      </c>
      <c r="BV133" s="214">
        <f t="shared" si="124"/>
        <v>0</v>
      </c>
    </row>
    <row r="134" spans="1:74" ht="17.100000000000001" customHeight="1" x14ac:dyDescent="0.2">
      <c r="A134" s="374"/>
      <c r="B134" s="19" t="str">
        <f t="shared" si="125"/>
        <v/>
      </c>
      <c r="C134" s="20" t="str">
        <f t="shared" si="125"/>
        <v/>
      </c>
      <c r="D134" s="15" t="str">
        <f t="shared" si="125"/>
        <v/>
      </c>
      <c r="E134" s="353"/>
      <c r="F134" s="15" t="str">
        <f t="shared" si="104"/>
        <v/>
      </c>
      <c r="G134" s="353"/>
      <c r="H134" s="15" t="str">
        <f t="shared" si="105"/>
        <v/>
      </c>
      <c r="I134" s="353"/>
      <c r="J134" s="15" t="str">
        <f t="shared" si="106"/>
        <v/>
      </c>
      <c r="K134" s="353"/>
      <c r="L134" s="15" t="str">
        <f t="shared" si="107"/>
        <v/>
      </c>
      <c r="M134" s="353"/>
      <c r="N134" s="15" t="str">
        <f t="shared" si="108"/>
        <v/>
      </c>
      <c r="O134" s="353"/>
      <c r="R134" s="356"/>
      <c r="S134" s="68" t="str">
        <f>IF(T134=0,"",VLOOKUP(T134,Starter!$A$1:$D$196,2,FALSE))</f>
        <v/>
      </c>
      <c r="T134" s="176"/>
      <c r="U134" s="184"/>
      <c r="V134" s="96"/>
      <c r="W134" s="184"/>
      <c r="X134" s="96"/>
      <c r="Y134" s="184"/>
      <c r="Z134" s="96"/>
      <c r="AA134" s="184"/>
      <c r="AB134" s="96"/>
      <c r="AC134" s="184"/>
      <c r="AD134" s="96"/>
      <c r="AE134" s="196">
        <f t="shared" si="109"/>
        <v>0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0"/>
        <v>0</v>
      </c>
      <c r="BE134" s="213">
        <f t="shared" si="111"/>
        <v>0</v>
      </c>
      <c r="BF134" s="215">
        <f t="shared" si="112"/>
        <v>0</v>
      </c>
      <c r="BG134" s="215">
        <f t="shared" si="113"/>
        <v>0</v>
      </c>
      <c r="BH134" s="215" t="str">
        <f t="shared" si="114"/>
        <v/>
      </c>
      <c r="BI134" s="215" t="str">
        <f t="shared" si="115"/>
        <v/>
      </c>
      <c r="BJ134" s="215" t="str">
        <f t="shared" si="116"/>
        <v/>
      </c>
      <c r="BK134" s="215" t="str">
        <f t="shared" si="117"/>
        <v/>
      </c>
      <c r="BL134" s="215" t="str">
        <f t="shared" si="118"/>
        <v/>
      </c>
      <c r="BM134" s="216"/>
      <c r="BN134" s="214"/>
      <c r="BO134" s="215">
        <f t="shared" si="119"/>
        <v>0</v>
      </c>
      <c r="BP134" s="215">
        <f t="shared" si="120"/>
        <v>0</v>
      </c>
      <c r="BQ134" s="215" t="str">
        <f t="shared" si="126"/>
        <v>Castra Regina Regensburg 2</v>
      </c>
      <c r="BR134" s="214">
        <f t="shared" si="121"/>
        <v>2</v>
      </c>
      <c r="BS134" s="215">
        <f t="shared" si="122"/>
        <v>0</v>
      </c>
      <c r="BT134" s="215">
        <f>IF(COUNTIF(BH134:BL134,"&gt;0")&lt;Spielorte!$A$23,0,BE134/Spielorte!$A$23)</f>
        <v>0</v>
      </c>
      <c r="BU134" s="215">
        <f t="shared" si="123"/>
        <v>0</v>
      </c>
      <c r="BV134" s="214">
        <f t="shared" si="124"/>
        <v>0</v>
      </c>
    </row>
    <row r="135" spans="1:74" ht="17.100000000000001" customHeight="1" thickBot="1" x14ac:dyDescent="0.25">
      <c r="A135" s="375"/>
      <c r="B135" s="21" t="str">
        <f t="shared" si="125"/>
        <v/>
      </c>
      <c r="C135" s="22" t="str">
        <f t="shared" si="125"/>
        <v/>
      </c>
      <c r="D135" s="9" t="str">
        <f t="shared" si="125"/>
        <v/>
      </c>
      <c r="E135" s="354"/>
      <c r="F135" s="9" t="str">
        <f t="shared" si="104"/>
        <v/>
      </c>
      <c r="G135" s="354"/>
      <c r="H135" s="9" t="str">
        <f t="shared" si="105"/>
        <v/>
      </c>
      <c r="I135" s="354"/>
      <c r="J135" s="9" t="str">
        <f t="shared" si="106"/>
        <v/>
      </c>
      <c r="K135" s="354"/>
      <c r="L135" s="9" t="str">
        <f t="shared" si="107"/>
        <v/>
      </c>
      <c r="M135" s="354"/>
      <c r="N135" s="9" t="str">
        <f t="shared" si="108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09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0"/>
        <v>0</v>
      </c>
      <c r="BE135" s="213">
        <f t="shared" si="111"/>
        <v>0</v>
      </c>
      <c r="BF135" s="215">
        <f t="shared" si="112"/>
        <v>0</v>
      </c>
      <c r="BG135" s="215">
        <f t="shared" si="113"/>
        <v>0</v>
      </c>
      <c r="BH135" s="215" t="str">
        <f t="shared" si="114"/>
        <v/>
      </c>
      <c r="BI135" s="215" t="str">
        <f t="shared" si="115"/>
        <v/>
      </c>
      <c r="BJ135" s="215" t="str">
        <f t="shared" si="116"/>
        <v/>
      </c>
      <c r="BK135" s="215" t="str">
        <f t="shared" si="117"/>
        <v/>
      </c>
      <c r="BL135" s="215" t="str">
        <f t="shared" si="118"/>
        <v/>
      </c>
      <c r="BM135" s="216"/>
      <c r="BN135" s="214"/>
      <c r="BO135" s="215">
        <f t="shared" si="119"/>
        <v>0</v>
      </c>
      <c r="BP135" s="215">
        <f t="shared" si="120"/>
        <v>0</v>
      </c>
      <c r="BQ135" s="215" t="str">
        <f t="shared" si="126"/>
        <v>Castra Regina Regensburg 2</v>
      </c>
      <c r="BR135" s="214">
        <f t="shared" si="121"/>
        <v>2</v>
      </c>
      <c r="BS135" s="215">
        <f t="shared" si="122"/>
        <v>0</v>
      </c>
      <c r="BT135" s="215">
        <f>IF(COUNTIF(BH135:BL135,"&gt;0")&lt;Spielorte!$A$23,0,BE135/Spielorte!$A$23)</f>
        <v>0</v>
      </c>
      <c r="BU135" s="215">
        <f t="shared" si="123"/>
        <v>0</v>
      </c>
      <c r="BV135" s="214">
        <f t="shared" si="124"/>
        <v>0</v>
      </c>
    </row>
    <row r="136" spans="1:74" ht="17.100000000000001" customHeight="1" x14ac:dyDescent="0.2">
      <c r="A136" s="373" t="s">
        <v>11</v>
      </c>
      <c r="B136" s="17" t="str">
        <f>IF(S136=0,"",S136)</f>
        <v>Humbs, Martin</v>
      </c>
      <c r="C136" s="18">
        <f t="shared" si="125"/>
        <v>38046</v>
      </c>
      <c r="D136" s="14">
        <f t="shared" si="125"/>
        <v>244</v>
      </c>
      <c r="E136" s="352">
        <f>IF(V136="","",V136)</f>
        <v>1</v>
      </c>
      <c r="F136" s="14">
        <f t="shared" si="104"/>
        <v>178</v>
      </c>
      <c r="G136" s="352">
        <f>IF(X136="","",X136)</f>
        <v>0</v>
      </c>
      <c r="H136" s="14">
        <f t="shared" si="105"/>
        <v>213</v>
      </c>
      <c r="I136" s="352">
        <f>IF(Z136="","",Z136)</f>
        <v>1</v>
      </c>
      <c r="J136" s="14">
        <f t="shared" si="106"/>
        <v>192</v>
      </c>
      <c r="K136" s="352">
        <f>IF(AB136="","",AB136)</f>
        <v>1</v>
      </c>
      <c r="L136" s="14">
        <f t="shared" si="107"/>
        <v>185</v>
      </c>
      <c r="M136" s="352">
        <f>IF(AD136="","",AD136)</f>
        <v>0</v>
      </c>
      <c r="N136" s="14">
        <f t="shared" si="108"/>
        <v>1012</v>
      </c>
      <c r="O136" s="352">
        <f>IF(AF136="","",AF136)</f>
        <v>3</v>
      </c>
      <c r="R136" s="355" t="s">
        <v>11</v>
      </c>
      <c r="S136" s="68" t="str">
        <f>IF(T136=0,"",VLOOKUP(T136,Starter!$A$1:$D$196,2,FALSE))</f>
        <v>Humbs, Martin</v>
      </c>
      <c r="T136" s="178">
        <v>38046</v>
      </c>
      <c r="U136" s="186">
        <v>244</v>
      </c>
      <c r="V136" s="95">
        <f>IF(SUM(U136:U138)+U148=0,0,IF(ABS(SUM(U136:U138))=U148,0.5,IF(ABS(SUM(U136:U138))&gt;U148,1,0)))</f>
        <v>1</v>
      </c>
      <c r="W136" s="186">
        <v>178</v>
      </c>
      <c r="X136" s="95">
        <f>IF(SUM(W136:W138)+W148=0,0,IF(ABS(SUM(W136:W138))=W148,0.5,IF(ABS(SUM(W136:W138))&gt;W148,1,0)))</f>
        <v>0</v>
      </c>
      <c r="Y136" s="186">
        <v>213</v>
      </c>
      <c r="Z136" s="95">
        <f>IF(SUM(Y136:Y138)+Y148=0,0,IF(ABS(SUM(Y136:Y138))=Y148,0.5,IF(ABS(SUM(Y136:Y138))&gt;Y148,1,0)))</f>
        <v>1</v>
      </c>
      <c r="AA136" s="186">
        <v>192</v>
      </c>
      <c r="AB136" s="95">
        <f>IF(SUM(AA136:AA138)+AA148=0,0,IF(ABS(SUM(AA136:AA138))=AA148,0.5,IF(ABS(SUM(AA136:AA138))&gt;AA148,1,0)))</f>
        <v>1</v>
      </c>
      <c r="AC136" s="186">
        <v>185</v>
      </c>
      <c r="AD136" s="95">
        <f>IF(SUM(AC136:AC138)+AC148=0,0,IF(ABS(SUM(AC136:AC138))=AC148,0.5,IF(ABS(SUM(AC136:AC138))&gt;AC148,1,0)))</f>
        <v>0</v>
      </c>
      <c r="AE136" s="195">
        <f t="shared" si="109"/>
        <v>1012</v>
      </c>
      <c r="AF136" s="180">
        <f>SUM(V136+X136+Z136+AB136+AD136)</f>
        <v>3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0"/>
        <v>38046</v>
      </c>
      <c r="BE136" s="213">
        <f t="shared" si="111"/>
        <v>1012</v>
      </c>
      <c r="BF136" s="215">
        <f t="shared" si="112"/>
        <v>5</v>
      </c>
      <c r="BG136" s="215">
        <f t="shared" si="113"/>
        <v>5</v>
      </c>
      <c r="BH136" s="215">
        <f t="shared" si="114"/>
        <v>244</v>
      </c>
      <c r="BI136" s="215">
        <f t="shared" si="115"/>
        <v>178</v>
      </c>
      <c r="BJ136" s="215">
        <f t="shared" si="116"/>
        <v>213</v>
      </c>
      <c r="BK136" s="215">
        <f t="shared" si="117"/>
        <v>192</v>
      </c>
      <c r="BL136" s="215">
        <f t="shared" si="118"/>
        <v>185</v>
      </c>
      <c r="BM136" s="216"/>
      <c r="BN136" s="214"/>
      <c r="BO136" s="215">
        <f t="shared" si="119"/>
        <v>244</v>
      </c>
      <c r="BP136" s="215">
        <f t="shared" si="120"/>
        <v>0</v>
      </c>
      <c r="BQ136" s="215" t="str">
        <f t="shared" si="126"/>
        <v>Castra Regina Regensburg 2</v>
      </c>
      <c r="BR136" s="214">
        <f t="shared" si="121"/>
        <v>2</v>
      </c>
      <c r="BS136" s="215">
        <f t="shared" si="122"/>
        <v>1012</v>
      </c>
      <c r="BT136" s="215">
        <f>IF(COUNTIF(BH136:BL136,"&gt;0")&lt;Spielorte!$A$23,0,BE136/Spielorte!$A$23)</f>
        <v>202.4</v>
      </c>
      <c r="BU136" s="215">
        <f t="shared" si="123"/>
        <v>0</v>
      </c>
      <c r="BV136" s="214">
        <f t="shared" si="124"/>
        <v>0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25"/>
        <v/>
      </c>
      <c r="D137" s="15" t="str">
        <f t="shared" si="125"/>
        <v/>
      </c>
      <c r="E137" s="353"/>
      <c r="F137" s="15" t="str">
        <f t="shared" si="104"/>
        <v/>
      </c>
      <c r="G137" s="353"/>
      <c r="H137" s="15" t="str">
        <f t="shared" si="105"/>
        <v/>
      </c>
      <c r="I137" s="353"/>
      <c r="J137" s="15" t="str">
        <f t="shared" si="106"/>
        <v/>
      </c>
      <c r="K137" s="353"/>
      <c r="L137" s="15" t="str">
        <f t="shared" si="107"/>
        <v/>
      </c>
      <c r="M137" s="353"/>
      <c r="N137" s="15" t="str">
        <f t="shared" si="108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09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0"/>
        <v>0</v>
      </c>
      <c r="BE137" s="213">
        <f t="shared" si="111"/>
        <v>0</v>
      </c>
      <c r="BF137" s="215">
        <f t="shared" si="112"/>
        <v>0</v>
      </c>
      <c r="BG137" s="215">
        <f t="shared" si="113"/>
        <v>0</v>
      </c>
      <c r="BH137" s="215" t="str">
        <f t="shared" si="114"/>
        <v/>
      </c>
      <c r="BI137" s="215" t="str">
        <f t="shared" si="115"/>
        <v/>
      </c>
      <c r="BJ137" s="215" t="str">
        <f t="shared" si="116"/>
        <v/>
      </c>
      <c r="BK137" s="215" t="str">
        <f t="shared" si="117"/>
        <v/>
      </c>
      <c r="BL137" s="215" t="str">
        <f t="shared" si="118"/>
        <v/>
      </c>
      <c r="BM137" s="216"/>
      <c r="BN137" s="214"/>
      <c r="BO137" s="215">
        <f t="shared" si="119"/>
        <v>0</v>
      </c>
      <c r="BP137" s="215">
        <f t="shared" si="120"/>
        <v>0</v>
      </c>
      <c r="BQ137" s="215" t="str">
        <f t="shared" si="126"/>
        <v>Castra Regina Regensburg 2</v>
      </c>
      <c r="BR137" s="214">
        <f t="shared" si="121"/>
        <v>2</v>
      </c>
      <c r="BS137" s="215">
        <f t="shared" si="122"/>
        <v>0</v>
      </c>
      <c r="BT137" s="215">
        <f>IF(COUNTIF(BH137:BL137,"&gt;0")&lt;Spielorte!$A$23,0,BE137/Spielorte!$A$23)</f>
        <v>0</v>
      </c>
      <c r="BU137" s="215">
        <f t="shared" si="123"/>
        <v>0</v>
      </c>
      <c r="BV137" s="214">
        <f t="shared" si="124"/>
        <v>0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25"/>
        <v/>
      </c>
      <c r="D138" s="9" t="str">
        <f t="shared" si="125"/>
        <v/>
      </c>
      <c r="E138" s="354"/>
      <c r="F138" s="9" t="str">
        <f t="shared" si="104"/>
        <v/>
      </c>
      <c r="G138" s="354"/>
      <c r="H138" s="9" t="str">
        <f t="shared" si="105"/>
        <v/>
      </c>
      <c r="I138" s="354"/>
      <c r="J138" s="9" t="str">
        <f t="shared" si="106"/>
        <v/>
      </c>
      <c r="K138" s="354"/>
      <c r="L138" s="9" t="str">
        <f t="shared" si="107"/>
        <v/>
      </c>
      <c r="M138" s="354"/>
      <c r="N138" s="9" t="str">
        <f t="shared" si="108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09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0"/>
        <v>0</v>
      </c>
      <c r="BE138" s="213">
        <f t="shared" si="111"/>
        <v>0</v>
      </c>
      <c r="BF138" s="215">
        <f t="shared" si="112"/>
        <v>0</v>
      </c>
      <c r="BG138" s="215">
        <f t="shared" si="113"/>
        <v>0</v>
      </c>
      <c r="BH138" s="215" t="str">
        <f t="shared" si="114"/>
        <v/>
      </c>
      <c r="BI138" s="215" t="str">
        <f t="shared" si="115"/>
        <v/>
      </c>
      <c r="BJ138" s="215" t="str">
        <f t="shared" si="116"/>
        <v/>
      </c>
      <c r="BK138" s="215" t="str">
        <f t="shared" si="117"/>
        <v/>
      </c>
      <c r="BL138" s="215" t="str">
        <f t="shared" si="118"/>
        <v/>
      </c>
      <c r="BM138" s="216"/>
      <c r="BN138" s="214"/>
      <c r="BO138" s="215">
        <f t="shared" si="119"/>
        <v>0</v>
      </c>
      <c r="BP138" s="215">
        <f t="shared" si="120"/>
        <v>0</v>
      </c>
      <c r="BQ138" s="215" t="str">
        <f t="shared" si="126"/>
        <v>Castra Regina Regensburg 2</v>
      </c>
      <c r="BR138" s="214">
        <f t="shared" si="121"/>
        <v>2</v>
      </c>
      <c r="BS138" s="215">
        <f t="shared" si="122"/>
        <v>0</v>
      </c>
      <c r="BT138" s="215">
        <f>IF(COUNTIF(BH138:BL138,"&gt;0")&lt;Spielorte!$A$23,0,BE138/Spielorte!$A$23)</f>
        <v>0</v>
      </c>
      <c r="BU138" s="215">
        <f t="shared" si="123"/>
        <v>0</v>
      </c>
      <c r="BV138" s="214">
        <f t="shared" si="124"/>
        <v>0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25"/>
        <v/>
      </c>
      <c r="D139" s="16">
        <f t="shared" si="125"/>
        <v>793</v>
      </c>
      <c r="E139" s="12">
        <f>IF(V139="","",V139)</f>
        <v>2</v>
      </c>
      <c r="F139" s="16">
        <f t="shared" si="104"/>
        <v>739</v>
      </c>
      <c r="G139" s="12">
        <f>IF(X139="","",X139)</f>
        <v>0</v>
      </c>
      <c r="H139" s="16">
        <f t="shared" si="105"/>
        <v>806</v>
      </c>
      <c r="I139" s="12">
        <f>IF(Z139="","",Z139)</f>
        <v>2</v>
      </c>
      <c r="J139" s="16">
        <f t="shared" si="106"/>
        <v>756</v>
      </c>
      <c r="K139" s="12">
        <f>IF(AB139="","",AB139)</f>
        <v>2</v>
      </c>
      <c r="L139" s="16">
        <f t="shared" si="107"/>
        <v>676</v>
      </c>
      <c r="M139" s="12">
        <f>IF(AD139="","",AD139)</f>
        <v>0</v>
      </c>
      <c r="N139" s="16">
        <f t="shared" si="108"/>
        <v>3770</v>
      </c>
      <c r="O139" s="12">
        <f>IF(AF139="","",AF139)</f>
        <v>6</v>
      </c>
      <c r="S139" s="11" t="s">
        <v>1791</v>
      </c>
      <c r="T139" s="71"/>
      <c r="U139" s="188">
        <f>ABS(SUM(U127:U129))+ABS(SUM(U130:U132))+ABS(SUM(U133:U135))+ABS(SUM(U136:U138))</f>
        <v>793</v>
      </c>
      <c r="V139" s="98">
        <f>IF(U139+U149=0,0,IF(U139=U149,1,IF(U139&gt;U149,2,0)))</f>
        <v>2</v>
      </c>
      <c r="W139" s="188">
        <f>ABS(SUM(W127:W129))+ABS(SUM(W130:W132))+ABS(SUM(W133:W135))+ABS(SUM(W136:W138))</f>
        <v>739</v>
      </c>
      <c r="X139" s="98">
        <f>IF(W139+W149=0,0,IF(W139=W149,1,IF(W139&gt;W149,2,0)))</f>
        <v>0</v>
      </c>
      <c r="Y139" s="188">
        <f>ABS(SUM(Y127:Y129))+ABS(SUM(Y130:Y132))+ABS(SUM(Y133:Y135))+ABS(SUM(Y136:Y138))</f>
        <v>806</v>
      </c>
      <c r="Z139" s="98">
        <f>IF(Y139+Y149=0,0,IF(Y139=Y149,1,IF(Y139&gt;Y149,2,0)))</f>
        <v>2</v>
      </c>
      <c r="AA139" s="188">
        <f>ABS(SUM(AA127:AA129))+ABS(SUM(AA130:AA132))+ABS(SUM(AA133:AA135))+ABS(SUM(AA136:AA138))</f>
        <v>756</v>
      </c>
      <c r="AB139" s="98">
        <f>IF(AA139+AA149=0,0,IF(AA139=AA149,1,IF(AA139&gt;AA149,2,0)))</f>
        <v>2</v>
      </c>
      <c r="AC139" s="188">
        <f>ABS(SUM(AC127:AC129))+ABS(SUM(AC130:AC132))+ABS(SUM(AC133:AC135))+ABS(SUM(AC136:AC138))</f>
        <v>676</v>
      </c>
      <c r="AD139" s="98">
        <f>IF(AC139+AC149=0,0,IF(AC139=AC149,1,IF(AC139&gt;AC149,2,0)))</f>
        <v>0</v>
      </c>
      <c r="AE139" s="198">
        <f>SUM(U139+W139+Y139+AA139+AC139)</f>
        <v>3770</v>
      </c>
      <c r="AF139" s="12">
        <f>SUM(V139+X139+Z139+AB139+AD139)</f>
        <v>6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25"/>
        <v/>
      </c>
      <c r="D140" s="1" t="str">
        <f t="shared" si="125"/>
        <v/>
      </c>
      <c r="E140" s="23">
        <f>IF(V140="","",V140)</f>
        <v>5</v>
      </c>
      <c r="F140" s="1" t="str">
        <f t="shared" si="104"/>
        <v/>
      </c>
      <c r="G140" s="23">
        <f>IF(X140="","",X140)</f>
        <v>1</v>
      </c>
      <c r="H140" s="1" t="str">
        <f t="shared" si="105"/>
        <v/>
      </c>
      <c r="I140" s="23">
        <f>IF(Z140="","",Z140)</f>
        <v>5</v>
      </c>
      <c r="J140" s="1" t="str">
        <f t="shared" si="106"/>
        <v/>
      </c>
      <c r="K140" s="23">
        <f>IF(AB140="","",AB140)</f>
        <v>5</v>
      </c>
      <c r="L140" s="1" t="str">
        <f t="shared" si="107"/>
        <v/>
      </c>
      <c r="M140" s="23">
        <f>IF(AD140="","",AD140)</f>
        <v>2</v>
      </c>
      <c r="N140" s="1" t="str">
        <f t="shared" si="108"/>
        <v/>
      </c>
      <c r="O140" s="23">
        <f>IF(AF140="","",AF140)</f>
        <v>18</v>
      </c>
      <c r="S140" s="8" t="s">
        <v>1802</v>
      </c>
      <c r="T140" s="1"/>
      <c r="U140" s="1"/>
      <c r="V140" s="72">
        <f>SUM(V127:V139)</f>
        <v>5</v>
      </c>
      <c r="W140" s="1"/>
      <c r="X140" s="72">
        <f>SUM(X127:X139)</f>
        <v>1</v>
      </c>
      <c r="Y140" s="1"/>
      <c r="Z140" s="72">
        <f>SUM(Z127:Z139)</f>
        <v>5</v>
      </c>
      <c r="AA140" s="1"/>
      <c r="AB140" s="72">
        <f>SUM(AB127:AB139)</f>
        <v>5</v>
      </c>
      <c r="AC140" s="1"/>
      <c r="AD140" s="72">
        <f>SUM(AD127:AD139)</f>
        <v>2</v>
      </c>
      <c r="AE140" s="1"/>
      <c r="AF140" s="72">
        <f>SUM(AF127:AF139)</f>
        <v>18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18</v>
      </c>
      <c r="BB140" s="213">
        <f>AE139</f>
        <v>3770</v>
      </c>
      <c r="BC140" s="214">
        <f>+S122</f>
        <v>5</v>
      </c>
      <c r="BF140" s="215">
        <f>SUM(BF121:BF139)</f>
        <v>20</v>
      </c>
      <c r="BM140" s="212">
        <f>+BB140/1000000+BA140</f>
        <v>18.003769999999999</v>
      </c>
      <c r="BN140" s="214">
        <f>RANK(BM140,BM:BM)</f>
        <v>2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K144" si="127">IF(S142=0,"",S142)</f>
        <v>Gegner-Nr.:</v>
      </c>
      <c r="C142" s="5" t="str">
        <f t="shared" si="127"/>
        <v>&gt;&gt;&gt;&gt;</v>
      </c>
      <c r="D142" s="350">
        <f t="shared" si="127"/>
        <v>2</v>
      </c>
      <c r="E142" s="350" t="str">
        <f t="shared" si="127"/>
        <v/>
      </c>
      <c r="F142" s="350">
        <f t="shared" si="127"/>
        <v>1</v>
      </c>
      <c r="G142" s="350" t="str">
        <f t="shared" si="127"/>
        <v/>
      </c>
      <c r="H142" s="350">
        <f t="shared" si="127"/>
        <v>3</v>
      </c>
      <c r="I142" s="350" t="str">
        <f t="shared" si="127"/>
        <v/>
      </c>
      <c r="J142" s="350">
        <f t="shared" si="127"/>
        <v>6</v>
      </c>
      <c r="K142" s="350" t="str">
        <f t="shared" si="127"/>
        <v/>
      </c>
      <c r="L142" s="350">
        <f t="shared" ref="L142:M144" si="128">IF(AC142=0,"",AC142)</f>
        <v>4</v>
      </c>
      <c r="M142" s="350" t="str">
        <f t="shared" si="128"/>
        <v/>
      </c>
      <c r="N142" s="351"/>
      <c r="O142" s="351"/>
      <c r="S142" s="13" t="s">
        <v>1789</v>
      </c>
      <c r="T142" s="5" t="s">
        <v>1790</v>
      </c>
      <c r="U142" s="369">
        <f>VLOOKUP($S122,Schlüssel!$A$5:$DG$10,63)</f>
        <v>2</v>
      </c>
      <c r="V142" s="370"/>
      <c r="W142" s="369">
        <f>VLOOKUP($S122,Schlüssel!$A$5:$EK$10,64)</f>
        <v>1</v>
      </c>
      <c r="X142" s="370"/>
      <c r="Y142" s="369">
        <f>VLOOKUP($S122,Schlüssel!$A$5:$EK$10,65)</f>
        <v>3</v>
      </c>
      <c r="Z142" s="370"/>
      <c r="AA142" s="369">
        <f>VLOOKUP($S122,Schlüssel!$A$5:$EK$10,66)</f>
        <v>6</v>
      </c>
      <c r="AB142" s="370"/>
      <c r="AC142" s="369">
        <f>VLOOKUP($S122,Schlüssel!$A$5:$EK$10,67)</f>
        <v>4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si="127"/>
        <v/>
      </c>
      <c r="C143" s="1" t="str">
        <f t="shared" si="127"/>
        <v/>
      </c>
      <c r="D143" s="347" t="str">
        <f t="shared" si="127"/>
        <v>Herzogenaurach 1</v>
      </c>
      <c r="E143" s="348" t="str">
        <f t="shared" si="127"/>
        <v/>
      </c>
      <c r="F143" s="347" t="str">
        <f t="shared" si="127"/>
        <v>Castra Regina Regensburg 3</v>
      </c>
      <c r="G143" s="348" t="str">
        <f t="shared" si="127"/>
        <v/>
      </c>
      <c r="H143" s="347" t="str">
        <f t="shared" si="127"/>
        <v>Kings Club Bayreuth Land 2</v>
      </c>
      <c r="I143" s="348" t="str">
        <f t="shared" si="127"/>
        <v/>
      </c>
      <c r="J143" s="347" t="str">
        <f t="shared" si="127"/>
        <v>Adler Nürnberg 1</v>
      </c>
      <c r="K143" s="348" t="str">
        <f t="shared" si="127"/>
        <v/>
      </c>
      <c r="L143" s="347" t="str">
        <f t="shared" si="128"/>
        <v>Kings Club Bayreuth Land 3</v>
      </c>
      <c r="M143" s="348" t="str">
        <f t="shared" si="128"/>
        <v/>
      </c>
      <c r="N143" s="349"/>
      <c r="O143" s="349"/>
      <c r="S143" s="4"/>
      <c r="T143" s="1"/>
      <c r="U143" s="347" t="str">
        <f>VLOOKUP(U142,Schlüssel!$A$5:$K$10,2)</f>
        <v>Herzogenaurach 1</v>
      </c>
      <c r="V143" s="348"/>
      <c r="W143" s="347" t="str">
        <f>VLOOKUP(W142,Schlüssel!$A$5:$K$10,2)</f>
        <v>Castra Regina Regensburg 3</v>
      </c>
      <c r="X143" s="348"/>
      <c r="Y143" s="347" t="str">
        <f>VLOOKUP(Y142,Schlüssel!$A$5:$K$10,2)</f>
        <v>Kings Club Bayreuth Land 2</v>
      </c>
      <c r="Z143" s="348"/>
      <c r="AA143" s="347" t="str">
        <f>VLOOKUP(AA142,Schlüssel!$A$5:$K$10,2)</f>
        <v>Adler Nürnberg 1</v>
      </c>
      <c r="AB143" s="348"/>
      <c r="AC143" s="347" t="str">
        <f>VLOOKUP(AC142,Schlüssel!$A$5:$K$10,2)</f>
        <v>Kings Club Bayreuth Land 3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27"/>
        <v/>
      </c>
      <c r="C144" s="1" t="str">
        <f t="shared" si="127"/>
        <v/>
      </c>
      <c r="D144" s="346" t="str">
        <f t="shared" si="127"/>
        <v/>
      </c>
      <c r="E144" s="346" t="str">
        <f t="shared" si="127"/>
        <v/>
      </c>
      <c r="F144" s="346" t="str">
        <f t="shared" si="127"/>
        <v/>
      </c>
      <c r="G144" s="346" t="str">
        <f t="shared" si="127"/>
        <v/>
      </c>
      <c r="H144" s="346" t="str">
        <f t="shared" si="127"/>
        <v/>
      </c>
      <c r="I144" s="346" t="str">
        <f t="shared" si="127"/>
        <v/>
      </c>
      <c r="J144" s="346" t="str">
        <f t="shared" si="127"/>
        <v/>
      </c>
      <c r="K144" s="346" t="str">
        <f t="shared" si="127"/>
        <v/>
      </c>
      <c r="L144" s="346" t="str">
        <f t="shared" si="128"/>
        <v/>
      </c>
      <c r="M144" s="346" t="str">
        <f t="shared" si="128"/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ref="B145:C149" si="129">IF(S145=0,"",S145)</f>
        <v>Spieler 1</v>
      </c>
      <c r="C145" s="372" t="str">
        <f t="shared" si="129"/>
        <v/>
      </c>
      <c r="D145" s="344">
        <f>IF(U145=301,"",U145)</f>
        <v>182</v>
      </c>
      <c r="E145" s="344" t="str">
        <f>IF(V145=0,"",V145)</f>
        <v/>
      </c>
      <c r="F145" s="344">
        <f>IF(W145=301,"",W145)</f>
        <v>187</v>
      </c>
      <c r="G145" s="344" t="str">
        <f>IF(X145=0,"",X145)</f>
        <v/>
      </c>
      <c r="H145" s="344">
        <f>IF(Y145=301,"",Y145)</f>
        <v>143</v>
      </c>
      <c r="I145" s="344" t="str">
        <f>IF(Z145=0,"",Z145)</f>
        <v/>
      </c>
      <c r="J145" s="344">
        <f>IF(AA145=301,"",AA145)</f>
        <v>199</v>
      </c>
      <c r="K145" s="344" t="str">
        <f>IF(AB145=0,"",AB145)</f>
        <v/>
      </c>
      <c r="L145" s="344">
        <f>IF(AC145=301,"",AC145)</f>
        <v>171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182</v>
      </c>
      <c r="V145" s="368"/>
      <c r="W145" s="367">
        <f>ABS(INDEX(W:W,MATCH(W142,$S:$S,0)+5)+INDEX(W:W,MATCH(W142,$S:$S,0)+6)+INDEX(W:W,MATCH(W142,$S:$S,0)+7))</f>
        <v>187</v>
      </c>
      <c r="X145" s="368"/>
      <c r="Y145" s="367">
        <f>ABS(INDEX(Y:Y,MATCH(Y142,$S:$S,0)+5)+INDEX(Y:Y,MATCH(Y142,$S:$S,0)+6)+INDEX(Y:Y,MATCH(Y142,$S:$S,0)+7))</f>
        <v>143</v>
      </c>
      <c r="Z145" s="368"/>
      <c r="AA145" s="367">
        <f>ABS(INDEX(AA:AA,MATCH(AA142,$S:$S,0)+5)+INDEX(AA:AA,MATCH(AA142,$S:$S,0)+6)+INDEX(AA:AA,MATCH(AA142,$S:$S,0)+7))</f>
        <v>199</v>
      </c>
      <c r="AB145" s="368"/>
      <c r="AC145" s="367">
        <f>ABS(INDEX(AC:AC,MATCH(AC142,$S:$S,0)+5)+INDEX(AC:AC,MATCH(AC142,$S:$S,0)+6)+INDEX(AC:AC,MATCH(AC142,$S:$S,0)+7))</f>
        <v>171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29"/>
        <v>Spieler 2</v>
      </c>
      <c r="C146" s="372" t="str">
        <f t="shared" si="129"/>
        <v/>
      </c>
      <c r="D146" s="344">
        <f>IF(U146=301,"",U146)</f>
        <v>200</v>
      </c>
      <c r="E146" s="344" t="str">
        <f>IF(V146=0,"",V146)</f>
        <v/>
      </c>
      <c r="F146" s="344">
        <f>IF(W146=301,"",W146)</f>
        <v>212</v>
      </c>
      <c r="G146" s="344" t="str">
        <f>IF(X146=0,"",X146)</f>
        <v/>
      </c>
      <c r="H146" s="344">
        <f>IF(Y146=301,"",Y146)</f>
        <v>156</v>
      </c>
      <c r="I146" s="344" t="str">
        <f>IF(Z146=0,"",Z146)</f>
        <v/>
      </c>
      <c r="J146" s="344">
        <f>IF(AA146=301,"",AA146)</f>
        <v>154</v>
      </c>
      <c r="K146" s="344" t="str">
        <f>IF(AB146=0,"",AB146)</f>
        <v/>
      </c>
      <c r="L146" s="344">
        <f>IF(AC146=301,"",AC146)</f>
        <v>152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200</v>
      </c>
      <c r="V146" s="366"/>
      <c r="W146" s="365">
        <f>ABS(INDEX(W:W,MATCH(W142,$S:$S,0)+8)+INDEX(W:W,MATCH(W142,$S:$S,0)+9)+INDEX(W:W,MATCH(W142,$S:$S,0)+10))</f>
        <v>212</v>
      </c>
      <c r="X146" s="366"/>
      <c r="Y146" s="365">
        <f>ABS(INDEX(Y:Y,MATCH(Y142,$S:$S,0)+8)+INDEX(Y:Y,MATCH(Y142,$S:$S,0)+9)+INDEX(Y:Y,MATCH(Y142,$S:$S,0)+10))</f>
        <v>156</v>
      </c>
      <c r="Z146" s="366"/>
      <c r="AA146" s="365">
        <f>ABS(INDEX(AA:AA,MATCH(AA142,$S:$S,0)+8)+INDEX(AA:AA,MATCH(AA142,$S:$S,0)+9)+INDEX(AA:AA,MATCH(AA142,$S:$S,0)+10))</f>
        <v>154</v>
      </c>
      <c r="AB146" s="366"/>
      <c r="AC146" s="365">
        <f>ABS(INDEX(AC:AC,MATCH(AC142,$S:$S,0)+8)+INDEX(AC:AC,MATCH(AC142,$S:$S,0)+9)+INDEX(AC:AC,MATCH(AC142,$S:$S,0)+10))</f>
        <v>152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29"/>
        <v>Spieler 3</v>
      </c>
      <c r="C147" s="372" t="str">
        <f t="shared" si="129"/>
        <v/>
      </c>
      <c r="D147" s="344">
        <f>IF(U147=301,"",U147)</f>
        <v>160</v>
      </c>
      <c r="E147" s="344" t="str">
        <f>IF(V147=0,"",V147)</f>
        <v/>
      </c>
      <c r="F147" s="344">
        <f>IF(W147=301,"",W147)</f>
        <v>187</v>
      </c>
      <c r="G147" s="344" t="str">
        <f>IF(X147=0,"",X147)</f>
        <v/>
      </c>
      <c r="H147" s="344">
        <f>IF(Y147=301,"",Y147)</f>
        <v>209</v>
      </c>
      <c r="I147" s="344" t="str">
        <f>IF(Z147=0,"",Z147)</f>
        <v/>
      </c>
      <c r="J147" s="344">
        <f>IF(AA147=301,"",AA147)</f>
        <v>172</v>
      </c>
      <c r="K147" s="344" t="str">
        <f>IF(AB147=0,"",AB147)</f>
        <v/>
      </c>
      <c r="L147" s="344">
        <f>IF(AC147=301,"",AC147)</f>
        <v>155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160</v>
      </c>
      <c r="V147" s="366"/>
      <c r="W147" s="365">
        <f>ABS(INDEX(W:W,MATCH(W142,$S:$S,0)+11)+INDEX(W:W,MATCH(W142,$S:$S,0)+12)+INDEX(W:W,MATCH(W142,$S:$S,0)+13))</f>
        <v>187</v>
      </c>
      <c r="X147" s="366"/>
      <c r="Y147" s="365">
        <f>ABS(INDEX(Y:Y,MATCH(Y142,$S:$S,0)+11)+INDEX(Y:Y,MATCH(Y142,$S:$S,0)+12)+INDEX(Y:Y,MATCH(Y142,$S:$S,0)+13))</f>
        <v>209</v>
      </c>
      <c r="Z147" s="366"/>
      <c r="AA147" s="365">
        <f>ABS(INDEX(AA:AA,MATCH(AA142,$S:$S,0)+11)+INDEX(AA:AA,MATCH(AA142,$S:$S,0)+12)+INDEX(AA:AA,MATCH(AA142,$S:$S,0)+13))</f>
        <v>172</v>
      </c>
      <c r="AB147" s="366"/>
      <c r="AC147" s="365">
        <f>ABS(INDEX(AC:AC,MATCH(AC142,$S:$S,0)+11)+INDEX(AC:AC,MATCH(AC142,$S:$S,0)+12)+INDEX(AC:AC,MATCH(AC142,$S:$S,0)+13))</f>
        <v>155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29"/>
        <v>Spieler 4</v>
      </c>
      <c r="C148" s="372" t="str">
        <f t="shared" si="129"/>
        <v/>
      </c>
      <c r="D148" s="344">
        <f>IF(U148=301,"",U148)</f>
        <v>176</v>
      </c>
      <c r="E148" s="344" t="str">
        <f>IF(V148=0,"",V148)</f>
        <v/>
      </c>
      <c r="F148" s="344">
        <f>IF(W148=301,"",W148)</f>
        <v>191</v>
      </c>
      <c r="G148" s="344" t="str">
        <f>IF(X148=0,"",X148)</f>
        <v/>
      </c>
      <c r="H148" s="344">
        <f>IF(Y148=301,"",Y148)</f>
        <v>162</v>
      </c>
      <c r="I148" s="344" t="str">
        <f>IF(Z148=0,"",Z148)</f>
        <v/>
      </c>
      <c r="J148" s="344">
        <f>IF(AA148=301,"",AA148)</f>
        <v>168</v>
      </c>
      <c r="K148" s="344" t="str">
        <f>IF(AB148=0,"",AB148)</f>
        <v/>
      </c>
      <c r="L148" s="344">
        <f>IF(AC148=301,"",AC148)</f>
        <v>247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176</v>
      </c>
      <c r="V148" s="366"/>
      <c r="W148" s="365">
        <f>ABS(INDEX(W:W,MATCH(W142,$S:$S,0)+14)+INDEX(W:W,MATCH(W142,$S:$S,0)+15)+INDEX(W:W,MATCH(W142,$S:$S,0)+16))</f>
        <v>191</v>
      </c>
      <c r="X148" s="366"/>
      <c r="Y148" s="365">
        <f>ABS(INDEX(Y:Y,MATCH(Y142,$S:$S,0)+14)+INDEX(Y:Y,MATCH(Y142,$S:$S,0)+15)+INDEX(Y:Y,MATCH(Y142,$S:$S,0)+16))</f>
        <v>162</v>
      </c>
      <c r="Z148" s="366"/>
      <c r="AA148" s="365">
        <f>ABS(INDEX(AA:AA,MATCH(AA142,$S:$S,0)+14)+INDEX(AA:AA,MATCH(AA142,$S:$S,0)+15)+INDEX(AA:AA,MATCH(AA142,$S:$S,0)+16))</f>
        <v>168</v>
      </c>
      <c r="AB148" s="366"/>
      <c r="AC148" s="365">
        <f>ABS(INDEX(AC:AC,MATCH(AC142,$S:$S,0)+14)+INDEX(AC:AC,MATCH(AC142,$S:$S,0)+15)+INDEX(AC:AC,MATCH(AC142,$S:$S,0)+16))</f>
        <v>247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29"/>
        <v>Gesamt</v>
      </c>
      <c r="C149" s="360" t="str">
        <f t="shared" si="129"/>
        <v/>
      </c>
      <c r="D149" s="343">
        <f>IF(U149=1505,"",U149)</f>
        <v>718</v>
      </c>
      <c r="E149" s="343" t="str">
        <f>IF(V149=0,"",V149)</f>
        <v/>
      </c>
      <c r="F149" s="343">
        <f>IF(W149=1505,"",W149)</f>
        <v>777</v>
      </c>
      <c r="G149" s="343" t="str">
        <f>IF(X149=0,"",X149)</f>
        <v/>
      </c>
      <c r="H149" s="343">
        <f>IF(Y149=1505,"",Y149)</f>
        <v>670</v>
      </c>
      <c r="I149" s="343" t="str">
        <f>IF(Z149=0,"",Z149)</f>
        <v/>
      </c>
      <c r="J149" s="343">
        <f>IF(AA149=1505,"",AA149)</f>
        <v>693</v>
      </c>
      <c r="K149" s="343" t="str">
        <f>IF(AB149=0,"",AB149)</f>
        <v/>
      </c>
      <c r="L149" s="343">
        <f>IF(AC149=1505,"",AC149)</f>
        <v>725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718</v>
      </c>
      <c r="V149" s="360"/>
      <c r="W149" s="359">
        <f>SUM(W145:W148)</f>
        <v>777</v>
      </c>
      <c r="X149" s="360"/>
      <c r="Y149" s="359">
        <f>SUM(Y145:Y148)</f>
        <v>670</v>
      </c>
      <c r="Z149" s="360"/>
      <c r="AA149" s="359">
        <f>SUM(AA145:AA148)</f>
        <v>693</v>
      </c>
      <c r="AB149" s="360"/>
      <c r="AC149" s="359">
        <f>SUM(AC145:AC148)</f>
        <v>725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 t="str">
        <f>Schlüssel!$BU$1</f>
        <v>02.03.</v>
      </c>
      <c r="N151" s="376"/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Schlüssel!$BU$1</f>
        <v>02.03.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">
        <v>1786</v>
      </c>
      <c r="E152" s="84" t="str">
        <f>V152</f>
        <v>Regensburg Super Bowl</v>
      </c>
      <c r="F152" s="77"/>
      <c r="G152" s="77"/>
      <c r="H152" s="77"/>
      <c r="I152" s="77"/>
      <c r="J152" s="77"/>
      <c r="K152" s="77"/>
      <c r="L152" s="29" t="str">
        <f>AC152</f>
        <v>Spieltag:</v>
      </c>
      <c r="M152" s="86">
        <f>AD152</f>
        <v>4</v>
      </c>
      <c r="N152" s="28"/>
      <c r="R152" s="49"/>
      <c r="S152" s="50">
        <v>6</v>
      </c>
      <c r="U152" s="30" t="s">
        <v>1786</v>
      </c>
      <c r="V152" s="84" t="str">
        <f>Schlüssel!$BK$2</f>
        <v>Regensburg Super Bowl</v>
      </c>
      <c r="X152" s="77"/>
      <c r="Y152" s="77"/>
      <c r="Z152" s="77"/>
      <c r="AA152" s="77"/>
      <c r="AB152" s="77"/>
      <c r="AC152" s="29" t="s">
        <v>1784</v>
      </c>
      <c r="AD152" s="34">
        <v>4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VLOOKUP(S152,Schlüssel!$A$5:$DZ$10,73)</f>
        <v>12</v>
      </c>
      <c r="W154" s="193" t="s">
        <v>10</v>
      </c>
      <c r="X154" s="191">
        <f>VLOOKUP(S152,Schlüssel!$A$5:$DZ$10,74)</f>
        <v>13</v>
      </c>
      <c r="Y154" s="193" t="s">
        <v>10</v>
      </c>
      <c r="Z154" s="191">
        <f>VLOOKUP(S152,Schlüssel!$A$5:$DZ$10,75)</f>
        <v>11</v>
      </c>
      <c r="AA154" s="193" t="s">
        <v>10</v>
      </c>
      <c r="AB154" s="191">
        <f>VLOOKUP(S152,Schlüssel!$A$5:$DZ$10,76)</f>
        <v>14</v>
      </c>
      <c r="AC154" s="193" t="s">
        <v>10</v>
      </c>
      <c r="AD154" s="192">
        <f>VLOOKUP(S152,Schlüssel!$A$5:$DZ$10,77)</f>
        <v>12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>Doßler, Thomas</v>
      </c>
      <c r="C157" s="18">
        <f>IF(T157=0,"",T157)</f>
        <v>7714</v>
      </c>
      <c r="D157" s="14">
        <f>IF(U157=0,"",U157)</f>
        <v>138</v>
      </c>
      <c r="E157" s="352">
        <f>IF(V157="","",V157)</f>
        <v>0</v>
      </c>
      <c r="F157" s="14">
        <f t="shared" ref="F157:F170" si="130">IF(W157=0,"",W157)</f>
        <v>181</v>
      </c>
      <c r="G157" s="352">
        <f>IF(X157="","",X157)</f>
        <v>0</v>
      </c>
      <c r="H157" s="14">
        <f t="shared" ref="H157:H170" si="131">IF(Y157=0,"",Y157)</f>
        <v>181</v>
      </c>
      <c r="I157" s="352">
        <f>IF(Z157="","",Z157)</f>
        <v>1</v>
      </c>
      <c r="J157" s="14">
        <f t="shared" ref="J157:J170" si="132">IF(AA157=0,"",AA157)</f>
        <v>199</v>
      </c>
      <c r="K157" s="352">
        <f>IF(AB157="","",AB157)</f>
        <v>1</v>
      </c>
      <c r="L157" s="14">
        <f t="shared" ref="L157:L170" si="133">IF(AC157=0,"",AC157)</f>
        <v>182</v>
      </c>
      <c r="M157" s="352">
        <f>IF(AD157="","",AD157)</f>
        <v>0</v>
      </c>
      <c r="N157" s="14">
        <f t="shared" ref="N157:N170" si="134">IF(AE157=0,"",AE157)</f>
        <v>881</v>
      </c>
      <c r="O157" s="352">
        <f>IF(AF157="","",AF157)</f>
        <v>2</v>
      </c>
      <c r="R157" s="355" t="s">
        <v>0</v>
      </c>
      <c r="S157" s="68" t="str">
        <f>IF(T157=0,"",VLOOKUP(T157,Starter!$A$1:$D$196,2,FALSE))</f>
        <v>Doßler, Thomas</v>
      </c>
      <c r="T157" s="175">
        <v>7714</v>
      </c>
      <c r="U157" s="183">
        <v>138</v>
      </c>
      <c r="V157" s="95">
        <f>IF(SUM(U157:U159)+U175=0,0,IF(ABS(SUM(U157:U159))=U175,0.5,IF(ABS(SUM(U157:U159))&gt;U175,1,0)))</f>
        <v>0</v>
      </c>
      <c r="W157" s="183">
        <v>181</v>
      </c>
      <c r="X157" s="95">
        <f>IF(SUM(W157:W159)+W175=0,0,IF(ABS(SUM(W157:W159))=W175,0.5,IF(ABS(SUM(W157:W159))&gt;W175,1,0)))</f>
        <v>0</v>
      </c>
      <c r="Y157" s="183">
        <v>181</v>
      </c>
      <c r="Z157" s="95">
        <f>IF(SUM(Y157:Y159)+Y175=0,0,IF(ABS(SUM(Y157:Y159))=Y175,0.5,IF(ABS(SUM(Y157:Y159))&gt;Y175,1,0)))</f>
        <v>1</v>
      </c>
      <c r="AA157" s="189">
        <v>199</v>
      </c>
      <c r="AB157" s="95">
        <f>IF(SUM(AA157:AA159)+AA175=0,0,IF(ABS(SUM(AA157:AA159))=AA175,0.5,IF(ABS(SUM(AA157:AA159))&gt;AA175,1,0)))</f>
        <v>1</v>
      </c>
      <c r="AC157" s="183">
        <v>182</v>
      </c>
      <c r="AD157" s="95">
        <f>IF(SUM(AC157:AC159)+AC175=0,0,IF(ABS(SUM(AC157:AC159))=AC175,0.5,IF(ABS(SUM(AC157:AC159))&gt;AC175,1,0)))</f>
        <v>0</v>
      </c>
      <c r="AE157" s="195">
        <f t="shared" ref="AE157:AE168" si="135">ABS(SUM(U157:U157))+ABS(SUM(W157:W157))+ABS(SUM(Y157:Y157))+ABS(SUM(AA157:AA157))+ABS(SUM(AC157:AC157))</f>
        <v>881</v>
      </c>
      <c r="AF157" s="180">
        <f>SUM(V157+X157+Z157+AB157+AD157)</f>
        <v>2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36">T157</f>
        <v>7714</v>
      </c>
      <c r="BE157" s="213">
        <f t="shared" ref="BE157:BE168" si="137">AE157</f>
        <v>881</v>
      </c>
      <c r="BF157" s="215">
        <f t="shared" ref="BF157:BF168" si="138">COUNT(BH157:BL157)</f>
        <v>5</v>
      </c>
      <c r="BG157" s="215">
        <f t="shared" ref="BG157:BG168" si="139">COUNTIF(BH157:BL157,"&gt;0")</f>
        <v>5</v>
      </c>
      <c r="BH157" s="215">
        <f t="shared" ref="BH157:BH168" si="140">IF(U157=0,"",U157)</f>
        <v>138</v>
      </c>
      <c r="BI157" s="215">
        <f t="shared" ref="BI157:BI168" si="141">IF(W157=0,"",W157)</f>
        <v>181</v>
      </c>
      <c r="BJ157" s="215">
        <f t="shared" ref="BJ157:BJ168" si="142">IF(Y157=0,"",Y157)</f>
        <v>181</v>
      </c>
      <c r="BK157" s="215">
        <f t="shared" ref="BK157:BK168" si="143">IF(AA157=0,"",AA157)</f>
        <v>199</v>
      </c>
      <c r="BL157" s="215">
        <f t="shared" ref="BL157:BL168" si="144">IF(AC157=0,"",AC157)</f>
        <v>182</v>
      </c>
      <c r="BM157" s="216"/>
      <c r="BN157" s="214"/>
      <c r="BO157" s="215">
        <f t="shared" ref="BO157:BO168" si="145">MAX(BH157:BL157)</f>
        <v>199</v>
      </c>
      <c r="BP157" s="215">
        <f t="shared" ref="BP157:BP168" si="146">IF(BO157&lt;MAX(BO:BO),0,BO157+ROW()/1000000000)</f>
        <v>0</v>
      </c>
      <c r="BQ157" s="215" t="str">
        <f>+S153</f>
        <v>Adler Nürnberg 1</v>
      </c>
      <c r="BR157" s="214">
        <f t="shared" ref="BR157:BR168" si="147">RANK(BP157,BP:BP)</f>
        <v>2</v>
      </c>
      <c r="BS157" s="215">
        <f t="shared" ref="BS157:BS168" si="148">SUMIF(BH157:BL157,"&gt;0")</f>
        <v>881</v>
      </c>
      <c r="BT157" s="215">
        <f>IF(COUNTIF(BH157:BL157,"&gt;0")&lt;Spielorte!$A$23,0,BE157/Spielorte!$A$23)</f>
        <v>176.2</v>
      </c>
      <c r="BU157" s="215">
        <f t="shared" ref="BU157:BU168" si="149">IF(BT157&lt;MAX(BT:BT),0,BT157+ROW()/1000000000)</f>
        <v>0</v>
      </c>
      <c r="BV157" s="214">
        <f t="shared" ref="BV157:BV168" si="150">IF(BU157=0,0,RANK(BU157,BU:BU))</f>
        <v>0</v>
      </c>
    </row>
    <row r="158" spans="1:74" ht="17.100000000000001" customHeight="1" x14ac:dyDescent="0.2">
      <c r="A158" s="374"/>
      <c r="B158" s="19" t="str">
        <f t="shared" ref="B158:D170" si="151">IF(S158=0,"",S158)</f>
        <v/>
      </c>
      <c r="C158" s="20" t="str">
        <f t="shared" si="151"/>
        <v/>
      </c>
      <c r="D158" s="15" t="str">
        <f t="shared" si="151"/>
        <v/>
      </c>
      <c r="E158" s="353"/>
      <c r="F158" s="15" t="str">
        <f t="shared" si="130"/>
        <v/>
      </c>
      <c r="G158" s="353"/>
      <c r="H158" s="15" t="str">
        <f t="shared" si="131"/>
        <v/>
      </c>
      <c r="I158" s="353"/>
      <c r="J158" s="15" t="str">
        <f t="shared" si="132"/>
        <v/>
      </c>
      <c r="K158" s="353"/>
      <c r="L158" s="15" t="str">
        <f t="shared" si="133"/>
        <v/>
      </c>
      <c r="M158" s="353"/>
      <c r="N158" s="15" t="str">
        <f t="shared" si="134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35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36"/>
        <v>0</v>
      </c>
      <c r="BE158" s="213">
        <f t="shared" si="137"/>
        <v>0</v>
      </c>
      <c r="BF158" s="215">
        <f t="shared" si="138"/>
        <v>0</v>
      </c>
      <c r="BG158" s="215">
        <f t="shared" si="139"/>
        <v>0</v>
      </c>
      <c r="BH158" s="215" t="str">
        <f t="shared" si="140"/>
        <v/>
      </c>
      <c r="BI158" s="215" t="str">
        <f t="shared" si="141"/>
        <v/>
      </c>
      <c r="BJ158" s="215" t="str">
        <f t="shared" si="142"/>
        <v/>
      </c>
      <c r="BK158" s="215" t="str">
        <f t="shared" si="143"/>
        <v/>
      </c>
      <c r="BL158" s="215" t="str">
        <f t="shared" si="144"/>
        <v/>
      </c>
      <c r="BM158" s="216"/>
      <c r="BN158" s="214"/>
      <c r="BO158" s="215">
        <f t="shared" si="145"/>
        <v>0</v>
      </c>
      <c r="BP158" s="215">
        <f t="shared" si="146"/>
        <v>0</v>
      </c>
      <c r="BQ158" s="215" t="str">
        <f t="shared" ref="BQ158:BQ168" si="152">+BQ157</f>
        <v>Adler Nürnberg 1</v>
      </c>
      <c r="BR158" s="214">
        <f t="shared" si="147"/>
        <v>2</v>
      </c>
      <c r="BS158" s="215">
        <f t="shared" si="148"/>
        <v>0</v>
      </c>
      <c r="BT158" s="215">
        <f>IF(COUNTIF(BH158:BL158,"&gt;0")&lt;Spielorte!$A$23,0,BE158/Spielorte!$A$23)</f>
        <v>0</v>
      </c>
      <c r="BU158" s="215">
        <f t="shared" si="149"/>
        <v>0</v>
      </c>
      <c r="BV158" s="214">
        <f t="shared" si="150"/>
        <v>0</v>
      </c>
    </row>
    <row r="159" spans="1:74" ht="17.100000000000001" customHeight="1" thickBot="1" x14ac:dyDescent="0.25">
      <c r="A159" s="375"/>
      <c r="B159" s="21" t="str">
        <f t="shared" si="151"/>
        <v/>
      </c>
      <c r="C159" s="22" t="str">
        <f t="shared" si="151"/>
        <v/>
      </c>
      <c r="D159" s="9" t="str">
        <f t="shared" si="151"/>
        <v/>
      </c>
      <c r="E159" s="354"/>
      <c r="F159" s="9" t="str">
        <f t="shared" si="130"/>
        <v/>
      </c>
      <c r="G159" s="354"/>
      <c r="H159" s="9" t="str">
        <f t="shared" si="131"/>
        <v/>
      </c>
      <c r="I159" s="354"/>
      <c r="J159" s="9" t="str">
        <f t="shared" si="132"/>
        <v/>
      </c>
      <c r="K159" s="354"/>
      <c r="L159" s="9" t="str">
        <f t="shared" si="133"/>
        <v/>
      </c>
      <c r="M159" s="354"/>
      <c r="N159" s="9" t="str">
        <f t="shared" si="134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35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36"/>
        <v>0</v>
      </c>
      <c r="BE159" s="213">
        <f t="shared" si="137"/>
        <v>0</v>
      </c>
      <c r="BF159" s="215">
        <f t="shared" si="138"/>
        <v>0</v>
      </c>
      <c r="BG159" s="215">
        <f t="shared" si="139"/>
        <v>0</v>
      </c>
      <c r="BH159" s="215" t="str">
        <f t="shared" si="140"/>
        <v/>
      </c>
      <c r="BI159" s="215" t="str">
        <f t="shared" si="141"/>
        <v/>
      </c>
      <c r="BJ159" s="215" t="str">
        <f t="shared" si="142"/>
        <v/>
      </c>
      <c r="BK159" s="215" t="str">
        <f t="shared" si="143"/>
        <v/>
      </c>
      <c r="BL159" s="215" t="str">
        <f t="shared" si="144"/>
        <v/>
      </c>
      <c r="BM159" s="216"/>
      <c r="BN159" s="214"/>
      <c r="BO159" s="215">
        <f t="shared" si="145"/>
        <v>0</v>
      </c>
      <c r="BP159" s="215">
        <f t="shared" si="146"/>
        <v>0</v>
      </c>
      <c r="BQ159" s="215" t="str">
        <f t="shared" si="152"/>
        <v>Adler Nürnberg 1</v>
      </c>
      <c r="BR159" s="214">
        <f t="shared" si="147"/>
        <v>2</v>
      </c>
      <c r="BS159" s="215">
        <f t="shared" si="148"/>
        <v>0</v>
      </c>
      <c r="BT159" s="215">
        <f>IF(COUNTIF(BH159:BL159,"&gt;0")&lt;Spielorte!$A$23,0,BE159/Spielorte!$A$23)</f>
        <v>0</v>
      </c>
      <c r="BU159" s="215">
        <f t="shared" si="149"/>
        <v>0</v>
      </c>
      <c r="BV159" s="214">
        <f t="shared" si="150"/>
        <v>0</v>
      </c>
    </row>
    <row r="160" spans="1:74" ht="17.100000000000001" customHeight="1" x14ac:dyDescent="0.2">
      <c r="A160" s="373" t="s">
        <v>2</v>
      </c>
      <c r="B160" s="17" t="str">
        <f t="shared" si="151"/>
        <v>Beier, Thomas</v>
      </c>
      <c r="C160" s="18">
        <f t="shared" si="151"/>
        <v>16707</v>
      </c>
      <c r="D160" s="14">
        <f t="shared" si="151"/>
        <v>139</v>
      </c>
      <c r="E160" s="352">
        <f>IF(V160="","",V160)</f>
        <v>0</v>
      </c>
      <c r="F160" s="14">
        <f t="shared" si="130"/>
        <v>244</v>
      </c>
      <c r="G160" s="352">
        <f>IF(X160="","",X160)</f>
        <v>1</v>
      </c>
      <c r="H160" s="14">
        <f t="shared" si="131"/>
        <v>189</v>
      </c>
      <c r="I160" s="352">
        <f>IF(Z160="","",Z160)</f>
        <v>0</v>
      </c>
      <c r="J160" s="14">
        <f t="shared" si="132"/>
        <v>154</v>
      </c>
      <c r="K160" s="352">
        <f>IF(AB160="","",AB160)</f>
        <v>0</v>
      </c>
      <c r="L160" s="14">
        <f t="shared" si="133"/>
        <v>179</v>
      </c>
      <c r="M160" s="352">
        <f>IF(AD160="","",AD160)</f>
        <v>0</v>
      </c>
      <c r="N160" s="14">
        <f t="shared" si="134"/>
        <v>905</v>
      </c>
      <c r="O160" s="352">
        <f>IF(AF160="","",AF160)</f>
        <v>1</v>
      </c>
      <c r="R160" s="355" t="s">
        <v>2</v>
      </c>
      <c r="S160" s="68" t="str">
        <f>IF(T160=0,"",VLOOKUP(T160,Starter!$A$1:$D$196,2,FALSE))</f>
        <v>Beier, Thomas</v>
      </c>
      <c r="T160" s="178">
        <v>16707</v>
      </c>
      <c r="U160" s="186">
        <v>139</v>
      </c>
      <c r="V160" s="95">
        <f>IF(SUM(U160:U162)+U176=0,0,IF(ABS(SUM(U160:U162))=U176,0.5,IF(ABS(SUM(U160:U162))&gt;U176,1,0)))</f>
        <v>0</v>
      </c>
      <c r="W160" s="186">
        <v>244</v>
      </c>
      <c r="X160" s="95">
        <f>IF(SUM(W160:W162)+W176=0,0,IF(ABS(SUM(W160:W162))=W176,0.5,IF(ABS(SUM(W160:W162))&gt;W176,1,0)))</f>
        <v>1</v>
      </c>
      <c r="Y160" s="186">
        <v>189</v>
      </c>
      <c r="Z160" s="95">
        <f>IF(SUM(Y160:Y162)+Y176=0,0,IF(ABS(SUM(Y160:Y162))=Y176,0.5,IF(ABS(SUM(Y160:Y162))&gt;Y176,1,0)))</f>
        <v>0</v>
      </c>
      <c r="AA160" s="186">
        <v>154</v>
      </c>
      <c r="AB160" s="95">
        <f>IF(SUM(AA160:AA162)+AA176=0,0,IF(ABS(SUM(AA160:AA162))=AA176,0.5,IF(ABS(SUM(AA160:AA162))&gt;AA176,1,0)))</f>
        <v>0</v>
      </c>
      <c r="AC160" s="186">
        <v>179</v>
      </c>
      <c r="AD160" s="95">
        <f>IF(SUM(AC160:AC162)+AC176=0,0,IF(ABS(SUM(AC160:AC162))=AC176,0.5,IF(ABS(SUM(AC160:AC162))&gt;AC176,1,0)))</f>
        <v>0</v>
      </c>
      <c r="AE160" s="195">
        <f t="shared" si="135"/>
        <v>905</v>
      </c>
      <c r="AF160" s="180">
        <f>SUM(V160+X160+Z160+AB160+AD160)</f>
        <v>1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36"/>
        <v>16707</v>
      </c>
      <c r="BE160" s="213">
        <f t="shared" si="137"/>
        <v>905</v>
      </c>
      <c r="BF160" s="215">
        <f t="shared" si="138"/>
        <v>5</v>
      </c>
      <c r="BG160" s="215">
        <f t="shared" si="139"/>
        <v>5</v>
      </c>
      <c r="BH160" s="215">
        <f t="shared" si="140"/>
        <v>139</v>
      </c>
      <c r="BI160" s="215">
        <f t="shared" si="141"/>
        <v>244</v>
      </c>
      <c r="BJ160" s="215">
        <f t="shared" si="142"/>
        <v>189</v>
      </c>
      <c r="BK160" s="215">
        <f t="shared" si="143"/>
        <v>154</v>
      </c>
      <c r="BL160" s="215">
        <f t="shared" si="144"/>
        <v>179</v>
      </c>
      <c r="BM160" s="216"/>
      <c r="BN160" s="214"/>
      <c r="BO160" s="215">
        <f t="shared" si="145"/>
        <v>244</v>
      </c>
      <c r="BP160" s="215">
        <f t="shared" si="146"/>
        <v>0</v>
      </c>
      <c r="BQ160" s="215" t="str">
        <f t="shared" si="152"/>
        <v>Adler Nürnberg 1</v>
      </c>
      <c r="BR160" s="214">
        <f t="shared" si="147"/>
        <v>2</v>
      </c>
      <c r="BS160" s="215">
        <f t="shared" si="148"/>
        <v>905</v>
      </c>
      <c r="BT160" s="215">
        <f>IF(COUNTIF(BH160:BL160,"&gt;0")&lt;Spielorte!$A$23,0,BE160/Spielorte!$A$23)</f>
        <v>181</v>
      </c>
      <c r="BU160" s="215">
        <f t="shared" si="149"/>
        <v>0</v>
      </c>
      <c r="BV160" s="214">
        <f t="shared" si="150"/>
        <v>0</v>
      </c>
    </row>
    <row r="161" spans="1:74" ht="17.100000000000001" customHeight="1" x14ac:dyDescent="0.2">
      <c r="A161" s="374"/>
      <c r="B161" s="19" t="str">
        <f t="shared" si="151"/>
        <v/>
      </c>
      <c r="C161" s="20" t="str">
        <f t="shared" si="151"/>
        <v/>
      </c>
      <c r="D161" s="15" t="str">
        <f t="shared" si="151"/>
        <v/>
      </c>
      <c r="E161" s="353"/>
      <c r="F161" s="15" t="str">
        <f t="shared" si="130"/>
        <v/>
      </c>
      <c r="G161" s="353"/>
      <c r="H161" s="15" t="str">
        <f t="shared" si="131"/>
        <v/>
      </c>
      <c r="I161" s="353"/>
      <c r="J161" s="15" t="str">
        <f t="shared" si="132"/>
        <v/>
      </c>
      <c r="K161" s="353"/>
      <c r="L161" s="15" t="str">
        <f t="shared" si="133"/>
        <v/>
      </c>
      <c r="M161" s="353"/>
      <c r="N161" s="15" t="str">
        <f t="shared" si="134"/>
        <v/>
      </c>
      <c r="O161" s="353"/>
      <c r="R161" s="356"/>
      <c r="S161" s="68" t="str">
        <f>IF(T161=0,"",VLOOKUP(T161,Starter!$A$1:$D$196,2,FALSE))</f>
        <v/>
      </c>
      <c r="T161" s="176"/>
      <c r="U161" s="184"/>
      <c r="V161" s="96"/>
      <c r="W161" s="184"/>
      <c r="X161" s="96"/>
      <c r="Y161" s="184"/>
      <c r="Z161" s="96"/>
      <c r="AA161" s="184"/>
      <c r="AB161" s="96"/>
      <c r="AC161" s="184"/>
      <c r="AD161" s="96"/>
      <c r="AE161" s="196">
        <f t="shared" si="135"/>
        <v>0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36"/>
        <v>0</v>
      </c>
      <c r="BE161" s="213">
        <f t="shared" si="137"/>
        <v>0</v>
      </c>
      <c r="BF161" s="215">
        <f t="shared" si="138"/>
        <v>0</v>
      </c>
      <c r="BG161" s="215">
        <f t="shared" si="139"/>
        <v>0</v>
      </c>
      <c r="BH161" s="215" t="str">
        <f t="shared" si="140"/>
        <v/>
      </c>
      <c r="BI161" s="215" t="str">
        <f t="shared" si="141"/>
        <v/>
      </c>
      <c r="BJ161" s="215" t="str">
        <f t="shared" si="142"/>
        <v/>
      </c>
      <c r="BK161" s="215" t="str">
        <f t="shared" si="143"/>
        <v/>
      </c>
      <c r="BL161" s="215" t="str">
        <f t="shared" si="144"/>
        <v/>
      </c>
      <c r="BM161" s="216"/>
      <c r="BN161" s="214"/>
      <c r="BO161" s="215">
        <f t="shared" si="145"/>
        <v>0</v>
      </c>
      <c r="BP161" s="215">
        <f t="shared" si="146"/>
        <v>0</v>
      </c>
      <c r="BQ161" s="215" t="str">
        <f t="shared" si="152"/>
        <v>Adler Nürnberg 1</v>
      </c>
      <c r="BR161" s="214">
        <f t="shared" si="147"/>
        <v>2</v>
      </c>
      <c r="BS161" s="215">
        <f t="shared" si="148"/>
        <v>0</v>
      </c>
      <c r="BT161" s="215">
        <f>IF(COUNTIF(BH161:BL161,"&gt;0")&lt;Spielorte!$A$23,0,BE161/Spielorte!$A$23)</f>
        <v>0</v>
      </c>
      <c r="BU161" s="215">
        <f t="shared" si="149"/>
        <v>0</v>
      </c>
      <c r="BV161" s="214">
        <f t="shared" si="150"/>
        <v>0</v>
      </c>
    </row>
    <row r="162" spans="1:74" ht="17.100000000000001" customHeight="1" thickBot="1" x14ac:dyDescent="0.25">
      <c r="A162" s="375"/>
      <c r="B162" s="21" t="str">
        <f t="shared" si="151"/>
        <v/>
      </c>
      <c r="C162" s="22" t="str">
        <f t="shared" si="151"/>
        <v/>
      </c>
      <c r="D162" s="9" t="str">
        <f t="shared" si="151"/>
        <v/>
      </c>
      <c r="E162" s="354"/>
      <c r="F162" s="9" t="str">
        <f t="shared" si="130"/>
        <v/>
      </c>
      <c r="G162" s="354"/>
      <c r="H162" s="9" t="str">
        <f t="shared" si="131"/>
        <v/>
      </c>
      <c r="I162" s="354"/>
      <c r="J162" s="9" t="str">
        <f t="shared" si="132"/>
        <v/>
      </c>
      <c r="K162" s="354"/>
      <c r="L162" s="9" t="str">
        <f t="shared" si="133"/>
        <v/>
      </c>
      <c r="M162" s="354"/>
      <c r="N162" s="9" t="str">
        <f t="shared" si="134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35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36"/>
        <v>0</v>
      </c>
      <c r="BE162" s="213">
        <f t="shared" si="137"/>
        <v>0</v>
      </c>
      <c r="BF162" s="215">
        <f t="shared" si="138"/>
        <v>0</v>
      </c>
      <c r="BG162" s="215">
        <f t="shared" si="139"/>
        <v>0</v>
      </c>
      <c r="BH162" s="215" t="str">
        <f t="shared" si="140"/>
        <v/>
      </c>
      <c r="BI162" s="215" t="str">
        <f t="shared" si="141"/>
        <v/>
      </c>
      <c r="BJ162" s="215" t="str">
        <f t="shared" si="142"/>
        <v/>
      </c>
      <c r="BK162" s="215" t="str">
        <f t="shared" si="143"/>
        <v/>
      </c>
      <c r="BL162" s="215" t="str">
        <f t="shared" si="144"/>
        <v/>
      </c>
      <c r="BM162" s="216"/>
      <c r="BN162" s="214"/>
      <c r="BO162" s="215">
        <f t="shared" si="145"/>
        <v>0</v>
      </c>
      <c r="BP162" s="215">
        <f t="shared" si="146"/>
        <v>0</v>
      </c>
      <c r="BQ162" s="215" t="str">
        <f t="shared" si="152"/>
        <v>Adler Nürnberg 1</v>
      </c>
      <c r="BR162" s="214">
        <f t="shared" si="147"/>
        <v>2</v>
      </c>
      <c r="BS162" s="215">
        <f t="shared" si="148"/>
        <v>0</v>
      </c>
      <c r="BT162" s="215">
        <f>IF(COUNTIF(BH162:BL162,"&gt;0")&lt;Spielorte!$A$23,0,BE162/Spielorte!$A$23)</f>
        <v>0</v>
      </c>
      <c r="BU162" s="215">
        <f t="shared" si="149"/>
        <v>0</v>
      </c>
      <c r="BV162" s="214">
        <f t="shared" si="150"/>
        <v>0</v>
      </c>
    </row>
    <row r="163" spans="1:74" ht="17.100000000000001" customHeight="1" x14ac:dyDescent="0.2">
      <c r="A163" s="373" t="s">
        <v>3</v>
      </c>
      <c r="B163" s="17" t="str">
        <f t="shared" si="151"/>
        <v>Schmelzl, Werner</v>
      </c>
      <c r="C163" s="18">
        <f t="shared" si="151"/>
        <v>25811</v>
      </c>
      <c r="D163" s="14">
        <f t="shared" si="151"/>
        <v>154</v>
      </c>
      <c r="E163" s="352">
        <f>IF(V163="","",V163)</f>
        <v>0</v>
      </c>
      <c r="F163" s="14">
        <f t="shared" si="130"/>
        <v>179</v>
      </c>
      <c r="G163" s="352">
        <f>IF(X163="","",X163)</f>
        <v>1</v>
      </c>
      <c r="H163" s="14">
        <f t="shared" si="131"/>
        <v>211</v>
      </c>
      <c r="I163" s="352">
        <f>IF(Z163="","",Z163)</f>
        <v>1</v>
      </c>
      <c r="J163" s="14">
        <f t="shared" si="132"/>
        <v>172</v>
      </c>
      <c r="K163" s="352">
        <f>IF(AB163="","",AB163)</f>
        <v>0</v>
      </c>
      <c r="L163" s="14">
        <f t="shared" si="133"/>
        <v>153</v>
      </c>
      <c r="M163" s="352">
        <f>IF(AD163="","",AD163)</f>
        <v>1</v>
      </c>
      <c r="N163" s="14">
        <f t="shared" si="134"/>
        <v>869</v>
      </c>
      <c r="O163" s="352">
        <f>IF(AF163="","",AF163)</f>
        <v>3</v>
      </c>
      <c r="R163" s="355" t="s">
        <v>3</v>
      </c>
      <c r="S163" s="68" t="str">
        <f>IF(T163=0,"",VLOOKUP(T163,Starter!$A$1:$D$196,2,FALSE))</f>
        <v>Schmelzl, Werner</v>
      </c>
      <c r="T163" s="178">
        <v>25811</v>
      </c>
      <c r="U163" s="186">
        <v>154</v>
      </c>
      <c r="V163" s="95">
        <f>IF(SUM(U163:U165)+U177=0,0,IF(ABS(SUM(U163:U165))=U177,0.5,IF(ABS(SUM(U163:U165))&gt;U177,1,0)))</f>
        <v>0</v>
      </c>
      <c r="W163" s="186">
        <v>179</v>
      </c>
      <c r="X163" s="95">
        <f>IF(SUM(W163:W165)+W177=0,0,IF(ABS(SUM(W163:W165))=W177,0.5,IF(ABS(SUM(W163:W165))&gt;W177,1,0)))</f>
        <v>1</v>
      </c>
      <c r="Y163" s="186">
        <v>211</v>
      </c>
      <c r="Z163" s="95">
        <f>IF(SUM(Y163:Y165)+Y177=0,0,IF(ABS(SUM(Y163:Y165))=Y177,0.5,IF(ABS(SUM(Y163:Y165))&gt;Y177,1,0)))</f>
        <v>1</v>
      </c>
      <c r="AA163" s="186">
        <v>172</v>
      </c>
      <c r="AB163" s="95">
        <f>IF(SUM(AA163:AA165)+AA177=0,0,IF(ABS(SUM(AA163:AA165))=AA177,0.5,IF(ABS(SUM(AA163:AA165))&gt;AA177,1,0)))</f>
        <v>0</v>
      </c>
      <c r="AC163" s="186">
        <v>153</v>
      </c>
      <c r="AD163" s="95">
        <f>IF(SUM(AC163:AC165)+AC177=0,0,IF(ABS(SUM(AC163:AC165))=AC177,0.5,IF(ABS(SUM(AC163:AC165))&gt;AC177,1,0)))</f>
        <v>1</v>
      </c>
      <c r="AE163" s="195">
        <f t="shared" si="135"/>
        <v>869</v>
      </c>
      <c r="AF163" s="180">
        <f>SUM(V163+X163+Z163+AB163+AD163)</f>
        <v>3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36"/>
        <v>25811</v>
      </c>
      <c r="BE163" s="213">
        <f t="shared" si="137"/>
        <v>869</v>
      </c>
      <c r="BF163" s="215">
        <f t="shared" si="138"/>
        <v>5</v>
      </c>
      <c r="BG163" s="215">
        <f t="shared" si="139"/>
        <v>5</v>
      </c>
      <c r="BH163" s="215">
        <f t="shared" si="140"/>
        <v>154</v>
      </c>
      <c r="BI163" s="215">
        <f t="shared" si="141"/>
        <v>179</v>
      </c>
      <c r="BJ163" s="215">
        <f t="shared" si="142"/>
        <v>211</v>
      </c>
      <c r="BK163" s="215">
        <f t="shared" si="143"/>
        <v>172</v>
      </c>
      <c r="BL163" s="215">
        <f t="shared" si="144"/>
        <v>153</v>
      </c>
      <c r="BM163" s="216"/>
      <c r="BN163" s="214"/>
      <c r="BO163" s="215">
        <f t="shared" si="145"/>
        <v>211</v>
      </c>
      <c r="BP163" s="215">
        <f t="shared" si="146"/>
        <v>0</v>
      </c>
      <c r="BQ163" s="215" t="str">
        <f t="shared" si="152"/>
        <v>Adler Nürnberg 1</v>
      </c>
      <c r="BR163" s="214">
        <f t="shared" si="147"/>
        <v>2</v>
      </c>
      <c r="BS163" s="215">
        <f t="shared" si="148"/>
        <v>869</v>
      </c>
      <c r="BT163" s="215">
        <f>IF(COUNTIF(BH163:BL163,"&gt;0")&lt;Spielorte!$A$23,0,BE163/Spielorte!$A$23)</f>
        <v>173.8</v>
      </c>
      <c r="BU163" s="215">
        <f t="shared" si="149"/>
        <v>0</v>
      </c>
      <c r="BV163" s="214">
        <f t="shared" si="150"/>
        <v>0</v>
      </c>
    </row>
    <row r="164" spans="1:74" ht="17.100000000000001" customHeight="1" x14ac:dyDescent="0.2">
      <c r="A164" s="374"/>
      <c r="B164" s="19" t="str">
        <f t="shared" si="151"/>
        <v/>
      </c>
      <c r="C164" s="20" t="str">
        <f t="shared" si="151"/>
        <v/>
      </c>
      <c r="D164" s="15" t="str">
        <f t="shared" si="151"/>
        <v/>
      </c>
      <c r="E164" s="353"/>
      <c r="F164" s="15" t="str">
        <f t="shared" si="130"/>
        <v/>
      </c>
      <c r="G164" s="353"/>
      <c r="H164" s="15" t="str">
        <f t="shared" si="131"/>
        <v/>
      </c>
      <c r="I164" s="353"/>
      <c r="J164" s="15" t="str">
        <f t="shared" si="132"/>
        <v/>
      </c>
      <c r="K164" s="353"/>
      <c r="L164" s="15" t="str">
        <f t="shared" si="133"/>
        <v/>
      </c>
      <c r="M164" s="353"/>
      <c r="N164" s="15" t="str">
        <f t="shared" si="134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35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36"/>
        <v>0</v>
      </c>
      <c r="BE164" s="213">
        <f t="shared" si="137"/>
        <v>0</v>
      </c>
      <c r="BF164" s="215">
        <f t="shared" si="138"/>
        <v>0</v>
      </c>
      <c r="BG164" s="215">
        <f t="shared" si="139"/>
        <v>0</v>
      </c>
      <c r="BH164" s="215" t="str">
        <f t="shared" si="140"/>
        <v/>
      </c>
      <c r="BI164" s="215" t="str">
        <f t="shared" si="141"/>
        <v/>
      </c>
      <c r="BJ164" s="215" t="str">
        <f t="shared" si="142"/>
        <v/>
      </c>
      <c r="BK164" s="215" t="str">
        <f t="shared" si="143"/>
        <v/>
      </c>
      <c r="BL164" s="215" t="str">
        <f t="shared" si="144"/>
        <v/>
      </c>
      <c r="BM164" s="216"/>
      <c r="BN164" s="214"/>
      <c r="BO164" s="215">
        <f t="shared" si="145"/>
        <v>0</v>
      </c>
      <c r="BP164" s="215">
        <f t="shared" si="146"/>
        <v>0</v>
      </c>
      <c r="BQ164" s="215" t="str">
        <f t="shared" si="152"/>
        <v>Adler Nürnberg 1</v>
      </c>
      <c r="BR164" s="214">
        <f t="shared" si="147"/>
        <v>2</v>
      </c>
      <c r="BS164" s="215">
        <f t="shared" si="148"/>
        <v>0</v>
      </c>
      <c r="BT164" s="215">
        <f>IF(COUNTIF(BH164:BL164,"&gt;0")&lt;Spielorte!$A$23,0,BE164/Spielorte!$A$23)</f>
        <v>0</v>
      </c>
      <c r="BU164" s="215">
        <f t="shared" si="149"/>
        <v>0</v>
      </c>
      <c r="BV164" s="214">
        <f t="shared" si="150"/>
        <v>0</v>
      </c>
    </row>
    <row r="165" spans="1:74" ht="17.100000000000001" customHeight="1" thickBot="1" x14ac:dyDescent="0.25">
      <c r="A165" s="375"/>
      <c r="B165" s="21" t="str">
        <f t="shared" si="151"/>
        <v/>
      </c>
      <c r="C165" s="22" t="str">
        <f t="shared" si="151"/>
        <v/>
      </c>
      <c r="D165" s="9" t="str">
        <f t="shared" si="151"/>
        <v/>
      </c>
      <c r="E165" s="354"/>
      <c r="F165" s="9" t="str">
        <f t="shared" si="130"/>
        <v/>
      </c>
      <c r="G165" s="354"/>
      <c r="H165" s="9" t="str">
        <f t="shared" si="131"/>
        <v/>
      </c>
      <c r="I165" s="354"/>
      <c r="J165" s="9" t="str">
        <f t="shared" si="132"/>
        <v/>
      </c>
      <c r="K165" s="354"/>
      <c r="L165" s="9" t="str">
        <f t="shared" si="133"/>
        <v/>
      </c>
      <c r="M165" s="354"/>
      <c r="N165" s="9" t="str">
        <f t="shared" si="134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35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36"/>
        <v>0</v>
      </c>
      <c r="BE165" s="213">
        <f t="shared" si="137"/>
        <v>0</v>
      </c>
      <c r="BF165" s="215">
        <f t="shared" si="138"/>
        <v>0</v>
      </c>
      <c r="BG165" s="215">
        <f t="shared" si="139"/>
        <v>0</v>
      </c>
      <c r="BH165" s="215" t="str">
        <f t="shared" si="140"/>
        <v/>
      </c>
      <c r="BI165" s="215" t="str">
        <f t="shared" si="141"/>
        <v/>
      </c>
      <c r="BJ165" s="215" t="str">
        <f t="shared" si="142"/>
        <v/>
      </c>
      <c r="BK165" s="215" t="str">
        <f t="shared" si="143"/>
        <v/>
      </c>
      <c r="BL165" s="215" t="str">
        <f t="shared" si="144"/>
        <v/>
      </c>
      <c r="BM165" s="216"/>
      <c r="BN165" s="214"/>
      <c r="BO165" s="215">
        <f t="shared" si="145"/>
        <v>0</v>
      </c>
      <c r="BP165" s="215">
        <f t="shared" si="146"/>
        <v>0</v>
      </c>
      <c r="BQ165" s="215" t="str">
        <f t="shared" si="152"/>
        <v>Adler Nürnberg 1</v>
      </c>
      <c r="BR165" s="214">
        <f t="shared" si="147"/>
        <v>2</v>
      </c>
      <c r="BS165" s="215">
        <f t="shared" si="148"/>
        <v>0</v>
      </c>
      <c r="BT165" s="215">
        <f>IF(COUNTIF(BH165:BL165,"&gt;0")&lt;Spielorte!$A$23,0,BE165/Spielorte!$A$23)</f>
        <v>0</v>
      </c>
      <c r="BU165" s="215">
        <f t="shared" si="149"/>
        <v>0</v>
      </c>
      <c r="BV165" s="214">
        <f t="shared" si="150"/>
        <v>0</v>
      </c>
    </row>
    <row r="166" spans="1:74" ht="17.100000000000001" customHeight="1" x14ac:dyDescent="0.2">
      <c r="A166" s="373" t="s">
        <v>11</v>
      </c>
      <c r="B166" s="17" t="str">
        <f>IF(S166=0,"",S166)</f>
        <v>Schmitt, Peter</v>
      </c>
      <c r="C166" s="18">
        <f t="shared" si="151"/>
        <v>7761</v>
      </c>
      <c r="D166" s="14">
        <f t="shared" si="151"/>
        <v>173</v>
      </c>
      <c r="E166" s="352">
        <f>IF(V166="","",V166)</f>
        <v>1</v>
      </c>
      <c r="F166" s="14">
        <f t="shared" si="130"/>
        <v>137</v>
      </c>
      <c r="G166" s="352">
        <f>IF(X166="","",X166)</f>
        <v>0</v>
      </c>
      <c r="H166" s="14">
        <f t="shared" si="131"/>
        <v>173</v>
      </c>
      <c r="I166" s="352">
        <f>IF(Z166="","",Z166)</f>
        <v>0</v>
      </c>
      <c r="J166" s="14">
        <f t="shared" si="132"/>
        <v>168</v>
      </c>
      <c r="K166" s="352">
        <f>IF(AB166="","",AB166)</f>
        <v>0</v>
      </c>
      <c r="L166" s="14">
        <f t="shared" si="133"/>
        <v>186</v>
      </c>
      <c r="M166" s="352">
        <f>IF(AD166="","",AD166)</f>
        <v>1</v>
      </c>
      <c r="N166" s="14">
        <f t="shared" si="134"/>
        <v>837</v>
      </c>
      <c r="O166" s="352">
        <f>IF(AF166="","",AF166)</f>
        <v>2</v>
      </c>
      <c r="R166" s="355" t="s">
        <v>11</v>
      </c>
      <c r="S166" s="68" t="str">
        <f>IF(T166=0,"",VLOOKUP(T166,Starter!$A$1:$D$196,2,FALSE))</f>
        <v>Schmitt, Peter</v>
      </c>
      <c r="T166" s="178">
        <v>7761</v>
      </c>
      <c r="U166" s="186">
        <v>173</v>
      </c>
      <c r="V166" s="95">
        <f>IF(SUM(U166:U168)+U178=0,0,IF(ABS(SUM(U166:U168))=U178,0.5,IF(ABS(SUM(U166:U168))&gt;U178,1,0)))</f>
        <v>1</v>
      </c>
      <c r="W166" s="186">
        <v>137</v>
      </c>
      <c r="X166" s="95">
        <f>IF(SUM(W166:W168)+W178=0,0,IF(ABS(SUM(W166:W168))=W178,0.5,IF(ABS(SUM(W166:W168))&gt;W178,1,0)))</f>
        <v>0</v>
      </c>
      <c r="Y166" s="186">
        <v>173</v>
      </c>
      <c r="Z166" s="95">
        <f>IF(SUM(Y166:Y168)+Y178=0,0,IF(ABS(SUM(Y166:Y168))=Y178,0.5,IF(ABS(SUM(Y166:Y168))&gt;Y178,1,0)))</f>
        <v>0</v>
      </c>
      <c r="AA166" s="186">
        <v>168</v>
      </c>
      <c r="AB166" s="95">
        <f>IF(SUM(AA166:AA168)+AA178=0,0,IF(ABS(SUM(AA166:AA168))=AA178,0.5,IF(ABS(SUM(AA166:AA168))&gt;AA178,1,0)))</f>
        <v>0</v>
      </c>
      <c r="AC166" s="186">
        <v>186</v>
      </c>
      <c r="AD166" s="95">
        <f>IF(SUM(AC166:AC168)+AC178=0,0,IF(ABS(SUM(AC166:AC168))=AC178,0.5,IF(ABS(SUM(AC166:AC168))&gt;AC178,1,0)))</f>
        <v>1</v>
      </c>
      <c r="AE166" s="195">
        <f t="shared" si="135"/>
        <v>837</v>
      </c>
      <c r="AF166" s="180">
        <f>SUM(V166+X166+Z166+AB166+AD166)</f>
        <v>2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36"/>
        <v>7761</v>
      </c>
      <c r="BE166" s="213">
        <f t="shared" si="137"/>
        <v>837</v>
      </c>
      <c r="BF166" s="215">
        <f t="shared" si="138"/>
        <v>5</v>
      </c>
      <c r="BG166" s="215">
        <f t="shared" si="139"/>
        <v>5</v>
      </c>
      <c r="BH166" s="215">
        <f t="shared" si="140"/>
        <v>173</v>
      </c>
      <c r="BI166" s="215">
        <f t="shared" si="141"/>
        <v>137</v>
      </c>
      <c r="BJ166" s="215">
        <f t="shared" si="142"/>
        <v>173</v>
      </c>
      <c r="BK166" s="215">
        <f t="shared" si="143"/>
        <v>168</v>
      </c>
      <c r="BL166" s="215">
        <f t="shared" si="144"/>
        <v>186</v>
      </c>
      <c r="BM166" s="216"/>
      <c r="BN166" s="214"/>
      <c r="BO166" s="215">
        <f t="shared" si="145"/>
        <v>186</v>
      </c>
      <c r="BP166" s="215">
        <f t="shared" si="146"/>
        <v>0</v>
      </c>
      <c r="BQ166" s="215" t="str">
        <f t="shared" si="152"/>
        <v>Adler Nürnberg 1</v>
      </c>
      <c r="BR166" s="214">
        <f t="shared" si="147"/>
        <v>2</v>
      </c>
      <c r="BS166" s="215">
        <f t="shared" si="148"/>
        <v>837</v>
      </c>
      <c r="BT166" s="215">
        <f>IF(COUNTIF(BH166:BL166,"&gt;0")&lt;Spielorte!$A$23,0,BE166/Spielorte!$A$23)</f>
        <v>167.4</v>
      </c>
      <c r="BU166" s="215">
        <f t="shared" si="149"/>
        <v>0</v>
      </c>
      <c r="BV166" s="214">
        <f t="shared" si="150"/>
        <v>0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51"/>
        <v/>
      </c>
      <c r="D167" s="15" t="str">
        <f t="shared" si="151"/>
        <v/>
      </c>
      <c r="E167" s="353"/>
      <c r="F167" s="15" t="str">
        <f t="shared" si="130"/>
        <v/>
      </c>
      <c r="G167" s="353"/>
      <c r="H167" s="15" t="str">
        <f t="shared" si="131"/>
        <v/>
      </c>
      <c r="I167" s="353"/>
      <c r="J167" s="15" t="str">
        <f t="shared" si="132"/>
        <v/>
      </c>
      <c r="K167" s="353"/>
      <c r="L167" s="15" t="str">
        <f t="shared" si="133"/>
        <v/>
      </c>
      <c r="M167" s="353"/>
      <c r="N167" s="15" t="str">
        <f t="shared" si="134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35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36"/>
        <v>0</v>
      </c>
      <c r="BE167" s="213">
        <f t="shared" si="137"/>
        <v>0</v>
      </c>
      <c r="BF167" s="215">
        <f t="shared" si="138"/>
        <v>0</v>
      </c>
      <c r="BG167" s="215">
        <f t="shared" si="139"/>
        <v>0</v>
      </c>
      <c r="BH167" s="215" t="str">
        <f t="shared" si="140"/>
        <v/>
      </c>
      <c r="BI167" s="215" t="str">
        <f t="shared" si="141"/>
        <v/>
      </c>
      <c r="BJ167" s="215" t="str">
        <f t="shared" si="142"/>
        <v/>
      </c>
      <c r="BK167" s="215" t="str">
        <f t="shared" si="143"/>
        <v/>
      </c>
      <c r="BL167" s="215" t="str">
        <f t="shared" si="144"/>
        <v/>
      </c>
      <c r="BM167" s="216"/>
      <c r="BN167" s="214"/>
      <c r="BO167" s="215">
        <f t="shared" si="145"/>
        <v>0</v>
      </c>
      <c r="BP167" s="215">
        <f t="shared" si="146"/>
        <v>0</v>
      </c>
      <c r="BQ167" s="215" t="str">
        <f t="shared" si="152"/>
        <v>Adler Nürnberg 1</v>
      </c>
      <c r="BR167" s="214">
        <f t="shared" si="147"/>
        <v>2</v>
      </c>
      <c r="BS167" s="215">
        <f t="shared" si="148"/>
        <v>0</v>
      </c>
      <c r="BT167" s="215">
        <f>IF(COUNTIF(BH167:BL167,"&gt;0")&lt;Spielorte!$A$23,0,BE167/Spielorte!$A$23)</f>
        <v>0</v>
      </c>
      <c r="BU167" s="215">
        <f t="shared" si="149"/>
        <v>0</v>
      </c>
      <c r="BV167" s="214">
        <f t="shared" si="150"/>
        <v>0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51"/>
        <v/>
      </c>
      <c r="D168" s="9" t="str">
        <f t="shared" si="151"/>
        <v/>
      </c>
      <c r="E168" s="354"/>
      <c r="F168" s="9" t="str">
        <f t="shared" si="130"/>
        <v/>
      </c>
      <c r="G168" s="354"/>
      <c r="H168" s="9" t="str">
        <f t="shared" si="131"/>
        <v/>
      </c>
      <c r="I168" s="354"/>
      <c r="J168" s="9" t="str">
        <f t="shared" si="132"/>
        <v/>
      </c>
      <c r="K168" s="354"/>
      <c r="L168" s="9" t="str">
        <f t="shared" si="133"/>
        <v/>
      </c>
      <c r="M168" s="354"/>
      <c r="N168" s="9" t="str">
        <f t="shared" si="134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35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36"/>
        <v>0</v>
      </c>
      <c r="BE168" s="213">
        <f t="shared" si="137"/>
        <v>0</v>
      </c>
      <c r="BF168" s="215">
        <f t="shared" si="138"/>
        <v>0</v>
      </c>
      <c r="BG168" s="215">
        <f t="shared" si="139"/>
        <v>0</v>
      </c>
      <c r="BH168" s="215" t="str">
        <f t="shared" si="140"/>
        <v/>
      </c>
      <c r="BI168" s="215" t="str">
        <f t="shared" si="141"/>
        <v/>
      </c>
      <c r="BJ168" s="215" t="str">
        <f t="shared" si="142"/>
        <v/>
      </c>
      <c r="BK168" s="215" t="str">
        <f t="shared" si="143"/>
        <v/>
      </c>
      <c r="BL168" s="215" t="str">
        <f t="shared" si="144"/>
        <v/>
      </c>
      <c r="BM168" s="216"/>
      <c r="BN168" s="214"/>
      <c r="BO168" s="215">
        <f t="shared" si="145"/>
        <v>0</v>
      </c>
      <c r="BP168" s="215">
        <f t="shared" si="146"/>
        <v>0</v>
      </c>
      <c r="BQ168" s="215" t="str">
        <f t="shared" si="152"/>
        <v>Adler Nürnberg 1</v>
      </c>
      <c r="BR168" s="214">
        <f t="shared" si="147"/>
        <v>2</v>
      </c>
      <c r="BS168" s="215">
        <f t="shared" si="148"/>
        <v>0</v>
      </c>
      <c r="BT168" s="215">
        <f>IF(COUNTIF(BH168:BL168,"&gt;0")&lt;Spielorte!$A$23,0,BE168/Spielorte!$A$23)</f>
        <v>0</v>
      </c>
      <c r="BU168" s="215">
        <f t="shared" si="149"/>
        <v>0</v>
      </c>
      <c r="BV168" s="214">
        <f t="shared" si="150"/>
        <v>0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51"/>
        <v/>
      </c>
      <c r="D169" s="16">
        <f t="shared" si="151"/>
        <v>604</v>
      </c>
      <c r="E169" s="12">
        <f>IF(V169="","",V169)</f>
        <v>0</v>
      </c>
      <c r="F169" s="16">
        <f t="shared" si="130"/>
        <v>741</v>
      </c>
      <c r="G169" s="12">
        <f>IF(X169="","",X169)</f>
        <v>2</v>
      </c>
      <c r="H169" s="16">
        <f t="shared" si="131"/>
        <v>754</v>
      </c>
      <c r="I169" s="12">
        <f>IF(Z169="","",Z169)</f>
        <v>2</v>
      </c>
      <c r="J169" s="16">
        <f t="shared" si="132"/>
        <v>693</v>
      </c>
      <c r="K169" s="12">
        <f>IF(AB169="","",AB169)</f>
        <v>0</v>
      </c>
      <c r="L169" s="16">
        <f t="shared" si="133"/>
        <v>700</v>
      </c>
      <c r="M169" s="12">
        <f>IF(AD169="","",AD169)</f>
        <v>0</v>
      </c>
      <c r="N169" s="16">
        <f t="shared" si="134"/>
        <v>3492</v>
      </c>
      <c r="O169" s="12">
        <f>IF(AF169="","",AF169)</f>
        <v>4</v>
      </c>
      <c r="S169" s="11" t="s">
        <v>1791</v>
      </c>
      <c r="T169" s="71"/>
      <c r="U169" s="188">
        <f>ABS(SUM(U157:U159))+ABS(SUM(U160:U162))+ABS(SUM(U163:U165))+ABS(SUM(U166:U168))</f>
        <v>604</v>
      </c>
      <c r="V169" s="98">
        <f>IF(U169+U179=0,0,IF(U169=U179,1,IF(U169&gt;U179,2,0)))</f>
        <v>0</v>
      </c>
      <c r="W169" s="188">
        <f>ABS(SUM(W157:W159))+ABS(SUM(W160:W162))+ABS(SUM(W163:W165))+ABS(SUM(W166:W168))</f>
        <v>741</v>
      </c>
      <c r="X169" s="98">
        <f>IF(W169+W179=0,0,IF(W169=W179,1,IF(W169&gt;W179,2,0)))</f>
        <v>2</v>
      </c>
      <c r="Y169" s="188">
        <f>ABS(SUM(Y157:Y159))+ABS(SUM(Y160:Y162))+ABS(SUM(Y163:Y165))+ABS(SUM(Y166:Y168))</f>
        <v>754</v>
      </c>
      <c r="Z169" s="98">
        <f>IF(Y169+Y179=0,0,IF(Y169=Y179,1,IF(Y169&gt;Y179,2,0)))</f>
        <v>2</v>
      </c>
      <c r="AA169" s="188">
        <f>ABS(SUM(AA157:AA159))+ABS(SUM(AA160:AA162))+ABS(SUM(AA163:AA165))+ABS(SUM(AA166:AA168))</f>
        <v>693</v>
      </c>
      <c r="AB169" s="98">
        <f>IF(AA169+AA179=0,0,IF(AA169=AA179,1,IF(AA169&gt;AA179,2,0)))</f>
        <v>0</v>
      </c>
      <c r="AC169" s="188">
        <f>ABS(SUM(AC157:AC159))+ABS(SUM(AC160:AC162))+ABS(SUM(AC163:AC165))+ABS(SUM(AC166:AC168))</f>
        <v>700</v>
      </c>
      <c r="AD169" s="98">
        <f>IF(AC169+AC179=0,0,IF(AC169=AC179,1,IF(AC169&gt;AC179,2,0)))</f>
        <v>0</v>
      </c>
      <c r="AE169" s="198">
        <f>SUM(U169+W169+Y169+AA169+AC169)</f>
        <v>3492</v>
      </c>
      <c r="AF169" s="12">
        <f>SUM(V169+X169+Z169+AB169+AD169)</f>
        <v>4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51"/>
        <v/>
      </c>
      <c r="D170" s="1" t="str">
        <f t="shared" si="151"/>
        <v/>
      </c>
      <c r="E170" s="23">
        <f>IF(V170="","",V170)</f>
        <v>1</v>
      </c>
      <c r="F170" s="1" t="str">
        <f t="shared" si="130"/>
        <v/>
      </c>
      <c r="G170" s="23">
        <f>IF(X170="","",X170)</f>
        <v>4</v>
      </c>
      <c r="H170" s="1" t="str">
        <f t="shared" si="131"/>
        <v/>
      </c>
      <c r="I170" s="23">
        <f>IF(Z170="","",Z170)</f>
        <v>4</v>
      </c>
      <c r="J170" s="1" t="str">
        <f t="shared" si="132"/>
        <v/>
      </c>
      <c r="K170" s="23">
        <f>IF(AB170="","",AB170)</f>
        <v>1</v>
      </c>
      <c r="L170" s="1" t="str">
        <f t="shared" si="133"/>
        <v/>
      </c>
      <c r="M170" s="23">
        <f>IF(AD170="","",AD170)</f>
        <v>2</v>
      </c>
      <c r="N170" s="1" t="str">
        <f t="shared" si="134"/>
        <v/>
      </c>
      <c r="O170" s="23">
        <f>IF(AF170="","",AF170)</f>
        <v>12</v>
      </c>
      <c r="S170" s="8" t="s">
        <v>1802</v>
      </c>
      <c r="T170" s="1"/>
      <c r="U170" s="1"/>
      <c r="V170" s="72">
        <f>SUM(V157:V169)</f>
        <v>1</v>
      </c>
      <c r="W170" s="1"/>
      <c r="X170" s="72">
        <f>SUM(X157:X169)</f>
        <v>4</v>
      </c>
      <c r="Y170" s="1"/>
      <c r="Z170" s="72">
        <f>SUM(Z157:Z169)</f>
        <v>4</v>
      </c>
      <c r="AA170" s="1"/>
      <c r="AB170" s="72">
        <f>SUM(AB157:AB169)</f>
        <v>1</v>
      </c>
      <c r="AC170" s="1"/>
      <c r="AD170" s="72">
        <f>SUM(AD157:AD169)</f>
        <v>2</v>
      </c>
      <c r="AE170" s="1"/>
      <c r="AF170" s="72">
        <f>SUM(AF157:AF169)</f>
        <v>12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12</v>
      </c>
      <c r="BB170" s="213">
        <f>AE169</f>
        <v>3492</v>
      </c>
      <c r="BC170" s="214">
        <f>+S152</f>
        <v>6</v>
      </c>
      <c r="BF170" s="215">
        <f>SUM(BF151:BF169)</f>
        <v>20</v>
      </c>
      <c r="BM170" s="212">
        <f>+BB170/1000000+BA170</f>
        <v>12.003492</v>
      </c>
      <c r="BN170" s="214">
        <f>RANK(BM170,BM:BM)</f>
        <v>5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K174" si="153">IF(S172=0,"",S172)</f>
        <v>Gegner-Nr.:</v>
      </c>
      <c r="C172" s="5" t="str">
        <f t="shared" si="153"/>
        <v>&gt;&gt;&gt;&gt;</v>
      </c>
      <c r="D172" s="350">
        <f t="shared" si="153"/>
        <v>4</v>
      </c>
      <c r="E172" s="350" t="str">
        <f t="shared" si="153"/>
        <v/>
      </c>
      <c r="F172" s="350">
        <f t="shared" si="153"/>
        <v>3</v>
      </c>
      <c r="G172" s="350" t="str">
        <f t="shared" si="153"/>
        <v/>
      </c>
      <c r="H172" s="350">
        <f t="shared" si="153"/>
        <v>2</v>
      </c>
      <c r="I172" s="350" t="str">
        <f t="shared" si="153"/>
        <v/>
      </c>
      <c r="J172" s="350">
        <f t="shared" si="153"/>
        <v>5</v>
      </c>
      <c r="K172" s="350" t="str">
        <f t="shared" si="153"/>
        <v/>
      </c>
      <c r="L172" s="350">
        <f t="shared" ref="L172:M174" si="154">IF(AC172=0,"",AC172)</f>
        <v>1</v>
      </c>
      <c r="M172" s="350" t="str">
        <f t="shared" si="154"/>
        <v/>
      </c>
      <c r="N172" s="351"/>
      <c r="O172" s="351"/>
      <c r="S172" s="13" t="s">
        <v>1789</v>
      </c>
      <c r="T172" s="5" t="s">
        <v>1790</v>
      </c>
      <c r="U172" s="369">
        <f>VLOOKUP($S152,Schlüssel!$A$5:$DG$10,63)</f>
        <v>4</v>
      </c>
      <c r="V172" s="370"/>
      <c r="W172" s="369">
        <f>VLOOKUP($S152,Schlüssel!$A$5:$EK$10,64)</f>
        <v>3</v>
      </c>
      <c r="X172" s="370"/>
      <c r="Y172" s="369">
        <f>VLOOKUP($S152,Schlüssel!$A$5:$EK$10,65)</f>
        <v>2</v>
      </c>
      <c r="Z172" s="370"/>
      <c r="AA172" s="369">
        <f>VLOOKUP($S152,Schlüssel!$A$5:$EK$10,66)</f>
        <v>5</v>
      </c>
      <c r="AB172" s="370"/>
      <c r="AC172" s="369">
        <f>VLOOKUP($S152,Schlüssel!$A$5:$EK$10,67)</f>
        <v>1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si="153"/>
        <v/>
      </c>
      <c r="C173" s="1" t="str">
        <f t="shared" si="153"/>
        <v/>
      </c>
      <c r="D173" s="347" t="str">
        <f t="shared" si="153"/>
        <v>Kings Club Bayreuth Land 3</v>
      </c>
      <c r="E173" s="348" t="str">
        <f t="shared" si="153"/>
        <v/>
      </c>
      <c r="F173" s="347" t="str">
        <f t="shared" si="153"/>
        <v>Kings Club Bayreuth Land 2</v>
      </c>
      <c r="G173" s="348" t="str">
        <f t="shared" si="153"/>
        <v/>
      </c>
      <c r="H173" s="347" t="str">
        <f t="shared" si="153"/>
        <v>Herzogenaurach 1</v>
      </c>
      <c r="I173" s="348" t="str">
        <f t="shared" si="153"/>
        <v/>
      </c>
      <c r="J173" s="347" t="str">
        <f t="shared" si="153"/>
        <v>Castra Regina Regensburg 2</v>
      </c>
      <c r="K173" s="348" t="str">
        <f t="shared" si="153"/>
        <v/>
      </c>
      <c r="L173" s="347" t="str">
        <f t="shared" si="154"/>
        <v>Castra Regina Regensburg 3</v>
      </c>
      <c r="M173" s="348" t="str">
        <f t="shared" si="154"/>
        <v/>
      </c>
      <c r="N173" s="349"/>
      <c r="O173" s="349"/>
      <c r="S173" s="4"/>
      <c r="T173" s="1"/>
      <c r="U173" s="347" t="str">
        <f>VLOOKUP(U172,Schlüssel!$A$5:$K$10,2)</f>
        <v>Kings Club Bayreuth Land 3</v>
      </c>
      <c r="V173" s="348"/>
      <c r="W173" s="347" t="str">
        <f>VLOOKUP(W172,Schlüssel!$A$5:$K$10,2)</f>
        <v>Kings Club Bayreuth Land 2</v>
      </c>
      <c r="X173" s="348"/>
      <c r="Y173" s="347" t="str">
        <f>VLOOKUP(Y172,Schlüssel!$A$5:$K$10,2)</f>
        <v>Herzogenaurach 1</v>
      </c>
      <c r="Z173" s="348"/>
      <c r="AA173" s="347" t="str">
        <f>VLOOKUP(AA172,Schlüssel!$A$5:$K$10,2)</f>
        <v>Castra Regina Regensburg 2</v>
      </c>
      <c r="AB173" s="348"/>
      <c r="AC173" s="347" t="str">
        <f>VLOOKUP(AC172,Schlüssel!$A$5:$K$10,2)</f>
        <v>Castra Regina Regensburg 3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53"/>
        <v/>
      </c>
      <c r="C174" s="1" t="str">
        <f t="shared" si="153"/>
        <v/>
      </c>
      <c r="D174" s="346" t="str">
        <f t="shared" si="153"/>
        <v/>
      </c>
      <c r="E174" s="346" t="str">
        <f t="shared" si="153"/>
        <v/>
      </c>
      <c r="F174" s="346" t="str">
        <f t="shared" si="153"/>
        <v/>
      </c>
      <c r="G174" s="346" t="str">
        <f t="shared" si="153"/>
        <v/>
      </c>
      <c r="H174" s="346" t="str">
        <f t="shared" si="153"/>
        <v/>
      </c>
      <c r="I174" s="346" t="str">
        <f t="shared" si="153"/>
        <v/>
      </c>
      <c r="J174" s="346" t="str">
        <f t="shared" si="153"/>
        <v/>
      </c>
      <c r="K174" s="346" t="str">
        <f t="shared" si="153"/>
        <v/>
      </c>
      <c r="L174" s="346" t="str">
        <f t="shared" si="154"/>
        <v/>
      </c>
      <c r="M174" s="346" t="str">
        <f t="shared" si="154"/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ref="B175:C179" si="155">IF(S175=0,"",S175)</f>
        <v>Spieler 1</v>
      </c>
      <c r="C175" s="372" t="str">
        <f t="shared" si="155"/>
        <v/>
      </c>
      <c r="D175" s="344">
        <f>IF(U175=301,"",U175)</f>
        <v>185</v>
      </c>
      <c r="E175" s="344" t="str">
        <f>IF(V175=0,"",V175)</f>
        <v/>
      </c>
      <c r="F175" s="344">
        <f>IF(W175=301,"",W175)</f>
        <v>214</v>
      </c>
      <c r="G175" s="344" t="str">
        <f>IF(X175=0,"",X175)</f>
        <v/>
      </c>
      <c r="H175" s="344">
        <f>IF(Y175=301,"",Y175)</f>
        <v>163</v>
      </c>
      <c r="I175" s="344" t="str">
        <f>IF(Z175=0,"",Z175)</f>
        <v/>
      </c>
      <c r="J175" s="344">
        <f>IF(AA175=301,"",AA175)</f>
        <v>188</v>
      </c>
      <c r="K175" s="344" t="str">
        <f>IF(AB175=0,"",AB175)</f>
        <v/>
      </c>
      <c r="L175" s="344">
        <f>IF(AC175=301,"",AC175)</f>
        <v>200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185</v>
      </c>
      <c r="V175" s="368"/>
      <c r="W175" s="367">
        <f>ABS(INDEX(W:W,MATCH(W172,$S:$S,0)+5)+INDEX(W:W,MATCH(W172,$S:$S,0)+6)+INDEX(W:W,MATCH(W172,$S:$S,0)+7))</f>
        <v>214</v>
      </c>
      <c r="X175" s="368"/>
      <c r="Y175" s="367">
        <f>ABS(INDEX(Y:Y,MATCH(Y172,$S:$S,0)+5)+INDEX(Y:Y,MATCH(Y172,$S:$S,0)+6)+INDEX(Y:Y,MATCH(Y172,$S:$S,0)+7))</f>
        <v>163</v>
      </c>
      <c r="Z175" s="368"/>
      <c r="AA175" s="367">
        <f>ABS(INDEX(AA:AA,MATCH(AA172,$S:$S,0)+5)+INDEX(AA:AA,MATCH(AA172,$S:$S,0)+6)+INDEX(AA:AA,MATCH(AA172,$S:$S,0)+7))</f>
        <v>188</v>
      </c>
      <c r="AB175" s="368"/>
      <c r="AC175" s="367">
        <f>ABS(INDEX(AC:AC,MATCH(AC172,$S:$S,0)+5)+INDEX(AC:AC,MATCH(AC172,$S:$S,0)+6)+INDEX(AC:AC,MATCH(AC172,$S:$S,0)+7))</f>
        <v>200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55"/>
        <v>Spieler 2</v>
      </c>
      <c r="C176" s="372" t="str">
        <f t="shared" si="155"/>
        <v/>
      </c>
      <c r="D176" s="344">
        <f>IF(U176=301,"",U176)</f>
        <v>147</v>
      </c>
      <c r="E176" s="344" t="str">
        <f>IF(V176=0,"",V176)</f>
        <v/>
      </c>
      <c r="F176" s="344">
        <f>IF(W176=301,"",W176)</f>
        <v>162</v>
      </c>
      <c r="G176" s="344" t="str">
        <f>IF(X176=0,"",X176)</f>
        <v/>
      </c>
      <c r="H176" s="344">
        <f>IF(Y176=301,"",Y176)</f>
        <v>212</v>
      </c>
      <c r="I176" s="344" t="str">
        <f>IF(Z176=0,"",Z176)</f>
        <v/>
      </c>
      <c r="J176" s="344">
        <f>IF(AA176=301,"",AA176)</f>
        <v>189</v>
      </c>
      <c r="K176" s="344" t="str">
        <f>IF(AB176=0,"",AB176)</f>
        <v/>
      </c>
      <c r="L176" s="344">
        <f>IF(AC176=301,"",AC176)</f>
        <v>192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147</v>
      </c>
      <c r="V176" s="366"/>
      <c r="W176" s="365">
        <f>ABS(INDEX(W:W,MATCH(W172,$S:$S,0)+8)+INDEX(W:W,MATCH(W172,$S:$S,0)+9)+INDEX(W:W,MATCH(W172,$S:$S,0)+10))</f>
        <v>162</v>
      </c>
      <c r="X176" s="366"/>
      <c r="Y176" s="365">
        <f>ABS(INDEX(Y:Y,MATCH(Y172,$S:$S,0)+8)+INDEX(Y:Y,MATCH(Y172,$S:$S,0)+9)+INDEX(Y:Y,MATCH(Y172,$S:$S,0)+10))</f>
        <v>212</v>
      </c>
      <c r="Z176" s="366"/>
      <c r="AA176" s="365">
        <f>ABS(INDEX(AA:AA,MATCH(AA172,$S:$S,0)+8)+INDEX(AA:AA,MATCH(AA172,$S:$S,0)+9)+INDEX(AA:AA,MATCH(AA172,$S:$S,0)+10))</f>
        <v>189</v>
      </c>
      <c r="AB176" s="366"/>
      <c r="AC176" s="365">
        <f>ABS(INDEX(AC:AC,MATCH(AC172,$S:$S,0)+8)+INDEX(AC:AC,MATCH(AC172,$S:$S,0)+9)+INDEX(AC:AC,MATCH(AC172,$S:$S,0)+10))</f>
        <v>192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55"/>
        <v>Spieler 3</v>
      </c>
      <c r="C177" s="372" t="str">
        <f t="shared" si="155"/>
        <v/>
      </c>
      <c r="D177" s="344">
        <f>IF(U177=301,"",U177)</f>
        <v>214</v>
      </c>
      <c r="E177" s="344" t="str">
        <f>IF(V177=0,"",V177)</f>
        <v/>
      </c>
      <c r="F177" s="344">
        <f>IF(W177=301,"",W177)</f>
        <v>173</v>
      </c>
      <c r="G177" s="344" t="str">
        <f>IF(X177=0,"",X177)</f>
        <v/>
      </c>
      <c r="H177" s="344">
        <f>IF(Y177=301,"",Y177)</f>
        <v>178</v>
      </c>
      <c r="I177" s="344" t="str">
        <f>IF(Z177=0,"",Z177)</f>
        <v/>
      </c>
      <c r="J177" s="344">
        <f>IF(AA177=301,"",AA177)</f>
        <v>187</v>
      </c>
      <c r="K177" s="344" t="str">
        <f>IF(AB177=0,"",AB177)</f>
        <v/>
      </c>
      <c r="L177" s="344">
        <f>IF(AC177=301,"",AC177)</f>
        <v>152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214</v>
      </c>
      <c r="V177" s="366"/>
      <c r="W177" s="365">
        <f>ABS(INDEX(W:W,MATCH(W172,$S:$S,0)+11)+INDEX(W:W,MATCH(W172,$S:$S,0)+12)+INDEX(W:W,MATCH(W172,$S:$S,0)+13))</f>
        <v>173</v>
      </c>
      <c r="X177" s="366"/>
      <c r="Y177" s="365">
        <f>ABS(INDEX(Y:Y,MATCH(Y172,$S:$S,0)+11)+INDEX(Y:Y,MATCH(Y172,$S:$S,0)+12)+INDEX(Y:Y,MATCH(Y172,$S:$S,0)+13))</f>
        <v>178</v>
      </c>
      <c r="Z177" s="366"/>
      <c r="AA177" s="365">
        <f>ABS(INDEX(AA:AA,MATCH(AA172,$S:$S,0)+11)+INDEX(AA:AA,MATCH(AA172,$S:$S,0)+12)+INDEX(AA:AA,MATCH(AA172,$S:$S,0)+13))</f>
        <v>187</v>
      </c>
      <c r="AB177" s="366"/>
      <c r="AC177" s="365">
        <f>ABS(INDEX(AC:AC,MATCH(AC172,$S:$S,0)+11)+INDEX(AC:AC,MATCH(AC172,$S:$S,0)+12)+INDEX(AC:AC,MATCH(AC172,$S:$S,0)+13))</f>
        <v>152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55"/>
        <v>Spieler 4</v>
      </c>
      <c r="C178" s="372" t="str">
        <f t="shared" si="155"/>
        <v/>
      </c>
      <c r="D178" s="344">
        <f>IF(U178=301,"",U178)</f>
        <v>171</v>
      </c>
      <c r="E178" s="344" t="str">
        <f>IF(V178=0,"",V178)</f>
        <v/>
      </c>
      <c r="F178" s="344">
        <f>IF(W178=301,"",W178)</f>
        <v>178</v>
      </c>
      <c r="G178" s="344" t="str">
        <f>IF(X178=0,"",X178)</f>
        <v/>
      </c>
      <c r="H178" s="344">
        <f>IF(Y178=301,"",Y178)</f>
        <v>191</v>
      </c>
      <c r="I178" s="344" t="str">
        <f>IF(Z178=0,"",Z178)</f>
        <v/>
      </c>
      <c r="J178" s="344">
        <f>IF(AA178=301,"",AA178)</f>
        <v>192</v>
      </c>
      <c r="K178" s="344" t="str">
        <f>IF(AB178=0,"",AB178)</f>
        <v/>
      </c>
      <c r="L178" s="344">
        <f>IF(AC178=301,"",AC178)</f>
        <v>185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171</v>
      </c>
      <c r="V178" s="366"/>
      <c r="W178" s="365">
        <f>ABS(INDEX(W:W,MATCH(W172,$S:$S,0)+14)+INDEX(W:W,MATCH(W172,$S:$S,0)+15)+INDEX(W:W,MATCH(W172,$S:$S,0)+16))</f>
        <v>178</v>
      </c>
      <c r="X178" s="366"/>
      <c r="Y178" s="365">
        <f>ABS(INDEX(Y:Y,MATCH(Y172,$S:$S,0)+14)+INDEX(Y:Y,MATCH(Y172,$S:$S,0)+15)+INDEX(Y:Y,MATCH(Y172,$S:$S,0)+16))</f>
        <v>191</v>
      </c>
      <c r="Z178" s="366"/>
      <c r="AA178" s="365">
        <f>ABS(INDEX(AA:AA,MATCH(AA172,$S:$S,0)+14)+INDEX(AA:AA,MATCH(AA172,$S:$S,0)+15)+INDEX(AA:AA,MATCH(AA172,$S:$S,0)+16))</f>
        <v>192</v>
      </c>
      <c r="AB178" s="366"/>
      <c r="AC178" s="365">
        <f>ABS(INDEX(AC:AC,MATCH(AC172,$S:$S,0)+14)+INDEX(AC:AC,MATCH(AC172,$S:$S,0)+15)+INDEX(AC:AC,MATCH(AC172,$S:$S,0)+16))</f>
        <v>185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55"/>
        <v>Gesamt</v>
      </c>
      <c r="C179" s="360" t="str">
        <f t="shared" si="155"/>
        <v/>
      </c>
      <c r="D179" s="343">
        <f>IF(U179=1505,"",U179)</f>
        <v>717</v>
      </c>
      <c r="E179" s="343" t="str">
        <f>IF(V179=0,"",V179)</f>
        <v/>
      </c>
      <c r="F179" s="343">
        <f>IF(W179=1505,"",W179)</f>
        <v>727</v>
      </c>
      <c r="G179" s="343" t="str">
        <f>IF(X179=0,"",X179)</f>
        <v/>
      </c>
      <c r="H179" s="343">
        <f>IF(Y179=1505,"",Y179)</f>
        <v>744</v>
      </c>
      <c r="I179" s="343" t="str">
        <f>IF(Z179=0,"",Z179)</f>
        <v/>
      </c>
      <c r="J179" s="343">
        <f>IF(AA179=1505,"",AA179)</f>
        <v>756</v>
      </c>
      <c r="K179" s="343" t="str">
        <f>IF(AB179=0,"",AB179)</f>
        <v/>
      </c>
      <c r="L179" s="343">
        <f>IF(AC179=1505,"",AC179)</f>
        <v>729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717</v>
      </c>
      <c r="V179" s="360"/>
      <c r="W179" s="359">
        <f>SUM(W175:W178)</f>
        <v>727</v>
      </c>
      <c r="X179" s="360"/>
      <c r="Y179" s="359">
        <f>SUM(Y175:Y178)</f>
        <v>744</v>
      </c>
      <c r="Z179" s="360"/>
      <c r="AA179" s="359">
        <f>SUM(AA175:AA178)</f>
        <v>756</v>
      </c>
      <c r="AB179" s="360"/>
      <c r="AC179" s="359">
        <f>SUM(AC175:AC178)</f>
        <v>729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/>
  <mergeCells count="810">
    <mergeCell ref="N179:O179"/>
    <mergeCell ref="B179:C179"/>
    <mergeCell ref="D179:E179"/>
    <mergeCell ref="F179:G179"/>
    <mergeCell ref="H179:I179"/>
    <mergeCell ref="J179:K179"/>
    <mergeCell ref="L179:M179"/>
    <mergeCell ref="B178:C178"/>
    <mergeCell ref="D178:E178"/>
    <mergeCell ref="F178:G178"/>
    <mergeCell ref="H178:I178"/>
    <mergeCell ref="J178:K178"/>
    <mergeCell ref="L178:M178"/>
    <mergeCell ref="N178:O178"/>
    <mergeCell ref="B177:C177"/>
    <mergeCell ref="D177:E177"/>
    <mergeCell ref="L176:M176"/>
    <mergeCell ref="N176:O176"/>
    <mergeCell ref="B175:C175"/>
    <mergeCell ref="D175:E175"/>
    <mergeCell ref="F175:G175"/>
    <mergeCell ref="H175:I175"/>
    <mergeCell ref="J175:K175"/>
    <mergeCell ref="L175:M175"/>
    <mergeCell ref="F177:G177"/>
    <mergeCell ref="H177:I177"/>
    <mergeCell ref="J177:K177"/>
    <mergeCell ref="L177:M177"/>
    <mergeCell ref="N175:O175"/>
    <mergeCell ref="B176:C176"/>
    <mergeCell ref="D176:E176"/>
    <mergeCell ref="F176:G176"/>
    <mergeCell ref="H176:I176"/>
    <mergeCell ref="J176:K176"/>
    <mergeCell ref="N177:O177"/>
    <mergeCell ref="Y173:Z173"/>
    <mergeCell ref="AA173:AB173"/>
    <mergeCell ref="AC173:AD173"/>
    <mergeCell ref="D173:E173"/>
    <mergeCell ref="F173:G173"/>
    <mergeCell ref="H173:I173"/>
    <mergeCell ref="J173:K173"/>
    <mergeCell ref="L173:M173"/>
    <mergeCell ref="D174:E174"/>
    <mergeCell ref="F174:G174"/>
    <mergeCell ref="H174:I174"/>
    <mergeCell ref="J174:K174"/>
    <mergeCell ref="L174:M174"/>
    <mergeCell ref="N174:O174"/>
    <mergeCell ref="N173:O173"/>
    <mergeCell ref="D172:E172"/>
    <mergeCell ref="F172:G172"/>
    <mergeCell ref="H172:I172"/>
    <mergeCell ref="J172:K172"/>
    <mergeCell ref="L172:M172"/>
    <mergeCell ref="N172:O172"/>
    <mergeCell ref="U173:V173"/>
    <mergeCell ref="W173:X173"/>
    <mergeCell ref="A163:A165"/>
    <mergeCell ref="E163:E165"/>
    <mergeCell ref="G163:G165"/>
    <mergeCell ref="I163:I165"/>
    <mergeCell ref="K163:K165"/>
    <mergeCell ref="M163:M165"/>
    <mergeCell ref="O163:O165"/>
    <mergeCell ref="R163:R165"/>
    <mergeCell ref="A166:A168"/>
    <mergeCell ref="E166:E168"/>
    <mergeCell ref="G166:G168"/>
    <mergeCell ref="I166:I168"/>
    <mergeCell ref="K166:K168"/>
    <mergeCell ref="M166:M168"/>
    <mergeCell ref="O166:O168"/>
    <mergeCell ref="R166:R168"/>
    <mergeCell ref="R157:R159"/>
    <mergeCell ref="A160:A162"/>
    <mergeCell ref="E160:E162"/>
    <mergeCell ref="G160:G162"/>
    <mergeCell ref="I160:I162"/>
    <mergeCell ref="K160:K162"/>
    <mergeCell ref="M160:M162"/>
    <mergeCell ref="O160:O162"/>
    <mergeCell ref="R160:R162"/>
    <mergeCell ref="D155:E155"/>
    <mergeCell ref="F155:G155"/>
    <mergeCell ref="H155:I155"/>
    <mergeCell ref="J155:K155"/>
    <mergeCell ref="L155:M155"/>
    <mergeCell ref="N155:O155"/>
    <mergeCell ref="M151:O151"/>
    <mergeCell ref="A157:A159"/>
    <mergeCell ref="E157:E159"/>
    <mergeCell ref="G157:G159"/>
    <mergeCell ref="I157:I159"/>
    <mergeCell ref="K157:K159"/>
    <mergeCell ref="M157:M159"/>
    <mergeCell ref="O157:O159"/>
    <mergeCell ref="B149:C149"/>
    <mergeCell ref="D149:E149"/>
    <mergeCell ref="F149:G149"/>
    <mergeCell ref="H149:I149"/>
    <mergeCell ref="J149:K149"/>
    <mergeCell ref="L149:M149"/>
    <mergeCell ref="N149:O149"/>
    <mergeCell ref="P151:R151"/>
    <mergeCell ref="AD151:AF151"/>
    <mergeCell ref="B148:C148"/>
    <mergeCell ref="D148:E148"/>
    <mergeCell ref="F148:G148"/>
    <mergeCell ref="H148:I148"/>
    <mergeCell ref="J148:K148"/>
    <mergeCell ref="L148:M148"/>
    <mergeCell ref="N148:O148"/>
    <mergeCell ref="B147:C147"/>
    <mergeCell ref="D147:E147"/>
    <mergeCell ref="L146:M146"/>
    <mergeCell ref="N146:O146"/>
    <mergeCell ref="B145:C145"/>
    <mergeCell ref="D145:E145"/>
    <mergeCell ref="F145:G145"/>
    <mergeCell ref="H145:I145"/>
    <mergeCell ref="J145:K145"/>
    <mergeCell ref="L145:M145"/>
    <mergeCell ref="F147:G147"/>
    <mergeCell ref="H147:I147"/>
    <mergeCell ref="J147:K147"/>
    <mergeCell ref="L147:M147"/>
    <mergeCell ref="N145:O145"/>
    <mergeCell ref="B146:C146"/>
    <mergeCell ref="D146:E146"/>
    <mergeCell ref="F146:G146"/>
    <mergeCell ref="H146:I146"/>
    <mergeCell ref="J146:K146"/>
    <mergeCell ref="N147:O147"/>
    <mergeCell ref="D143:E143"/>
    <mergeCell ref="F143:G143"/>
    <mergeCell ref="H143:I143"/>
    <mergeCell ref="J143:K143"/>
    <mergeCell ref="L143:M143"/>
    <mergeCell ref="N143:O143"/>
    <mergeCell ref="D144:E144"/>
    <mergeCell ref="F144:G144"/>
    <mergeCell ref="H144:I144"/>
    <mergeCell ref="J144:K144"/>
    <mergeCell ref="L144:M144"/>
    <mergeCell ref="N144:O144"/>
    <mergeCell ref="A136:A138"/>
    <mergeCell ref="E136:E138"/>
    <mergeCell ref="G136:G138"/>
    <mergeCell ref="I136:I138"/>
    <mergeCell ref="K136:K138"/>
    <mergeCell ref="M136:M138"/>
    <mergeCell ref="O136:O138"/>
    <mergeCell ref="R136:R138"/>
    <mergeCell ref="D142:E142"/>
    <mergeCell ref="F142:G142"/>
    <mergeCell ref="H142:I142"/>
    <mergeCell ref="J142:K142"/>
    <mergeCell ref="L142:M142"/>
    <mergeCell ref="N142:O142"/>
    <mergeCell ref="A130:A132"/>
    <mergeCell ref="E130:E132"/>
    <mergeCell ref="G130:G132"/>
    <mergeCell ref="I130:I132"/>
    <mergeCell ref="K130:K132"/>
    <mergeCell ref="M130:M132"/>
    <mergeCell ref="O130:O132"/>
    <mergeCell ref="R130:R132"/>
    <mergeCell ref="A133:A135"/>
    <mergeCell ref="E133:E135"/>
    <mergeCell ref="G133:G135"/>
    <mergeCell ref="I133:I135"/>
    <mergeCell ref="K133:K135"/>
    <mergeCell ref="M133:M135"/>
    <mergeCell ref="O133:O135"/>
    <mergeCell ref="R133:R135"/>
    <mergeCell ref="D125:E125"/>
    <mergeCell ref="F125:G125"/>
    <mergeCell ref="H125:I125"/>
    <mergeCell ref="J125:K125"/>
    <mergeCell ref="L125:M125"/>
    <mergeCell ref="N125:O125"/>
    <mergeCell ref="U119:V119"/>
    <mergeCell ref="A127:A129"/>
    <mergeCell ref="E127:E129"/>
    <mergeCell ref="G127:G129"/>
    <mergeCell ref="I127:I129"/>
    <mergeCell ref="K127:K129"/>
    <mergeCell ref="M127:M129"/>
    <mergeCell ref="O127:O129"/>
    <mergeCell ref="R127:R129"/>
    <mergeCell ref="B119:C119"/>
    <mergeCell ref="D119:E119"/>
    <mergeCell ref="F119:G119"/>
    <mergeCell ref="H119:I119"/>
    <mergeCell ref="J119:K119"/>
    <mergeCell ref="L119:M119"/>
    <mergeCell ref="N119:O119"/>
    <mergeCell ref="P121:R121"/>
    <mergeCell ref="U117:V117"/>
    <mergeCell ref="W117:X117"/>
    <mergeCell ref="Y117:Z117"/>
    <mergeCell ref="AA117:AB117"/>
    <mergeCell ref="AC117:AD117"/>
    <mergeCell ref="U118:V118"/>
    <mergeCell ref="W118:X118"/>
    <mergeCell ref="Y118:Z118"/>
    <mergeCell ref="AA118:AB118"/>
    <mergeCell ref="AC118:AD118"/>
    <mergeCell ref="B118:C118"/>
    <mergeCell ref="D118:E118"/>
    <mergeCell ref="F118:G118"/>
    <mergeCell ref="H118:I118"/>
    <mergeCell ref="J118:K118"/>
    <mergeCell ref="L118:M118"/>
    <mergeCell ref="N118:O118"/>
    <mergeCell ref="B117:C117"/>
    <mergeCell ref="D117:E117"/>
    <mergeCell ref="F117:G117"/>
    <mergeCell ref="H117:I117"/>
    <mergeCell ref="J117:K117"/>
    <mergeCell ref="L117:M117"/>
    <mergeCell ref="N115:O115"/>
    <mergeCell ref="B116:C116"/>
    <mergeCell ref="D116:E116"/>
    <mergeCell ref="F116:G116"/>
    <mergeCell ref="H116:I116"/>
    <mergeCell ref="J116:K116"/>
    <mergeCell ref="N117:O117"/>
    <mergeCell ref="D114:E114"/>
    <mergeCell ref="F114:G114"/>
    <mergeCell ref="H114:I114"/>
    <mergeCell ref="J114:K114"/>
    <mergeCell ref="L114:M114"/>
    <mergeCell ref="N114:O114"/>
    <mergeCell ref="L116:M116"/>
    <mergeCell ref="N116:O116"/>
    <mergeCell ref="B115:C115"/>
    <mergeCell ref="D115:E115"/>
    <mergeCell ref="F115:G115"/>
    <mergeCell ref="H115:I115"/>
    <mergeCell ref="J115:K115"/>
    <mergeCell ref="L115:M115"/>
    <mergeCell ref="U113:V113"/>
    <mergeCell ref="W113:X113"/>
    <mergeCell ref="Y113:Z113"/>
    <mergeCell ref="AA113:AB113"/>
    <mergeCell ref="AC113:AD113"/>
    <mergeCell ref="D113:E113"/>
    <mergeCell ref="F113:G113"/>
    <mergeCell ref="H113:I113"/>
    <mergeCell ref="J113:K113"/>
    <mergeCell ref="L113:M113"/>
    <mergeCell ref="A106:A108"/>
    <mergeCell ref="E106:E108"/>
    <mergeCell ref="G106:G108"/>
    <mergeCell ref="I106:I108"/>
    <mergeCell ref="K106:K108"/>
    <mergeCell ref="M106:M108"/>
    <mergeCell ref="O106:O108"/>
    <mergeCell ref="R106:R108"/>
    <mergeCell ref="N113:O113"/>
    <mergeCell ref="D112:E112"/>
    <mergeCell ref="F112:G112"/>
    <mergeCell ref="H112:I112"/>
    <mergeCell ref="J112:K112"/>
    <mergeCell ref="L112:M112"/>
    <mergeCell ref="N112:O112"/>
    <mergeCell ref="A100:A102"/>
    <mergeCell ref="E100:E102"/>
    <mergeCell ref="G100:G102"/>
    <mergeCell ref="I100:I102"/>
    <mergeCell ref="K100:K102"/>
    <mergeCell ref="M100:M102"/>
    <mergeCell ref="O100:O102"/>
    <mergeCell ref="R100:R102"/>
    <mergeCell ref="A103:A105"/>
    <mergeCell ref="E103:E105"/>
    <mergeCell ref="G103:G105"/>
    <mergeCell ref="I103:I105"/>
    <mergeCell ref="K103:K105"/>
    <mergeCell ref="M103:M105"/>
    <mergeCell ref="O103:O105"/>
    <mergeCell ref="R103:R105"/>
    <mergeCell ref="D95:E95"/>
    <mergeCell ref="F95:G95"/>
    <mergeCell ref="H95:I95"/>
    <mergeCell ref="J95:K95"/>
    <mergeCell ref="L95:M95"/>
    <mergeCell ref="N95:O95"/>
    <mergeCell ref="U89:V89"/>
    <mergeCell ref="A97:A99"/>
    <mergeCell ref="E97:E99"/>
    <mergeCell ref="G97:G99"/>
    <mergeCell ref="I97:I99"/>
    <mergeCell ref="K97:K99"/>
    <mergeCell ref="M97:M99"/>
    <mergeCell ref="O97:O99"/>
    <mergeCell ref="R97:R99"/>
    <mergeCell ref="B89:C89"/>
    <mergeCell ref="D89:E89"/>
    <mergeCell ref="F89:G89"/>
    <mergeCell ref="H89:I89"/>
    <mergeCell ref="J89:K89"/>
    <mergeCell ref="L89:M89"/>
    <mergeCell ref="N89:O89"/>
    <mergeCell ref="P91:R91"/>
    <mergeCell ref="U87:V87"/>
    <mergeCell ref="W87:X87"/>
    <mergeCell ref="Y87:Z87"/>
    <mergeCell ref="AA87:AB87"/>
    <mergeCell ref="AC87:AD87"/>
    <mergeCell ref="U88:V88"/>
    <mergeCell ref="W88:X88"/>
    <mergeCell ref="Y88:Z88"/>
    <mergeCell ref="AA88:AB88"/>
    <mergeCell ref="AC88:AD88"/>
    <mergeCell ref="B88:C88"/>
    <mergeCell ref="D88:E88"/>
    <mergeCell ref="F88:G88"/>
    <mergeCell ref="H88:I88"/>
    <mergeCell ref="J88:K88"/>
    <mergeCell ref="L88:M88"/>
    <mergeCell ref="N88:O88"/>
    <mergeCell ref="B87:C87"/>
    <mergeCell ref="D87:E87"/>
    <mergeCell ref="F87:G87"/>
    <mergeCell ref="H87:I87"/>
    <mergeCell ref="J87:K87"/>
    <mergeCell ref="L87:M87"/>
    <mergeCell ref="N85:O85"/>
    <mergeCell ref="B86:C86"/>
    <mergeCell ref="D86:E86"/>
    <mergeCell ref="F86:G86"/>
    <mergeCell ref="H86:I86"/>
    <mergeCell ref="J86:K86"/>
    <mergeCell ref="N87:O87"/>
    <mergeCell ref="D84:E84"/>
    <mergeCell ref="F84:G84"/>
    <mergeCell ref="H84:I84"/>
    <mergeCell ref="J84:K84"/>
    <mergeCell ref="L84:M84"/>
    <mergeCell ref="N84:O84"/>
    <mergeCell ref="L86:M86"/>
    <mergeCell ref="N86:O86"/>
    <mergeCell ref="B85:C85"/>
    <mergeCell ref="D85:E85"/>
    <mergeCell ref="F85:G85"/>
    <mergeCell ref="H85:I85"/>
    <mergeCell ref="J85:K85"/>
    <mergeCell ref="L85:M85"/>
    <mergeCell ref="U83:V83"/>
    <mergeCell ref="W83:X83"/>
    <mergeCell ref="Y83:Z83"/>
    <mergeCell ref="AA83:AB83"/>
    <mergeCell ref="AC83:AD83"/>
    <mergeCell ref="D83:E83"/>
    <mergeCell ref="F83:G83"/>
    <mergeCell ref="H83:I83"/>
    <mergeCell ref="J83:K83"/>
    <mergeCell ref="L83:M83"/>
    <mergeCell ref="A76:A78"/>
    <mergeCell ref="E76:E78"/>
    <mergeCell ref="G76:G78"/>
    <mergeCell ref="I76:I78"/>
    <mergeCell ref="K76:K78"/>
    <mergeCell ref="M76:M78"/>
    <mergeCell ref="O76:O78"/>
    <mergeCell ref="R76:R78"/>
    <mergeCell ref="N83:O83"/>
    <mergeCell ref="D82:E82"/>
    <mergeCell ref="F82:G82"/>
    <mergeCell ref="H82:I82"/>
    <mergeCell ref="J82:K82"/>
    <mergeCell ref="L82:M82"/>
    <mergeCell ref="N82:O82"/>
    <mergeCell ref="A70:A72"/>
    <mergeCell ref="E70:E72"/>
    <mergeCell ref="G70:G72"/>
    <mergeCell ref="I70:I72"/>
    <mergeCell ref="K70:K72"/>
    <mergeCell ref="M70:M72"/>
    <mergeCell ref="O70:O72"/>
    <mergeCell ref="R70:R72"/>
    <mergeCell ref="A73:A75"/>
    <mergeCell ref="E73:E75"/>
    <mergeCell ref="G73:G75"/>
    <mergeCell ref="I73:I75"/>
    <mergeCell ref="K73:K75"/>
    <mergeCell ref="M73:M75"/>
    <mergeCell ref="O73:O75"/>
    <mergeCell ref="R73:R75"/>
    <mergeCell ref="D65:E65"/>
    <mergeCell ref="F65:G65"/>
    <mergeCell ref="H65:I65"/>
    <mergeCell ref="J65:K65"/>
    <mergeCell ref="L65:M65"/>
    <mergeCell ref="N65:O65"/>
    <mergeCell ref="U65:V65"/>
    <mergeCell ref="A67:A69"/>
    <mergeCell ref="E67:E69"/>
    <mergeCell ref="G67:G69"/>
    <mergeCell ref="I67:I69"/>
    <mergeCell ref="K67:K69"/>
    <mergeCell ref="M67:M69"/>
    <mergeCell ref="O67:O69"/>
    <mergeCell ref="R67:R69"/>
    <mergeCell ref="B59:C59"/>
    <mergeCell ref="D59:E59"/>
    <mergeCell ref="F59:G59"/>
    <mergeCell ref="H59:I59"/>
    <mergeCell ref="J59:K59"/>
    <mergeCell ref="L59:M59"/>
    <mergeCell ref="N59:O59"/>
    <mergeCell ref="P61:R61"/>
    <mergeCell ref="AD61:AF61"/>
    <mergeCell ref="B58:C58"/>
    <mergeCell ref="D58:E58"/>
    <mergeCell ref="F58:G58"/>
    <mergeCell ref="H58:I58"/>
    <mergeCell ref="J58:K58"/>
    <mergeCell ref="L58:M58"/>
    <mergeCell ref="N58:O58"/>
    <mergeCell ref="B57:C57"/>
    <mergeCell ref="D57:E57"/>
    <mergeCell ref="F57:G57"/>
    <mergeCell ref="H57:I57"/>
    <mergeCell ref="J57:K57"/>
    <mergeCell ref="L57:M57"/>
    <mergeCell ref="B56:C56"/>
    <mergeCell ref="D56:E56"/>
    <mergeCell ref="F56:G56"/>
    <mergeCell ref="H56:I56"/>
    <mergeCell ref="J56:K56"/>
    <mergeCell ref="J53:K53"/>
    <mergeCell ref="L53:M53"/>
    <mergeCell ref="D54:E54"/>
    <mergeCell ref="F54:G54"/>
    <mergeCell ref="H54:I54"/>
    <mergeCell ref="J54:K54"/>
    <mergeCell ref="L54:M54"/>
    <mergeCell ref="B55:C55"/>
    <mergeCell ref="D55:E55"/>
    <mergeCell ref="F55:G55"/>
    <mergeCell ref="H55:I55"/>
    <mergeCell ref="J55:K55"/>
    <mergeCell ref="L55:M55"/>
    <mergeCell ref="A43:A45"/>
    <mergeCell ref="E43:E45"/>
    <mergeCell ref="G43:G45"/>
    <mergeCell ref="I43:I45"/>
    <mergeCell ref="K43:K45"/>
    <mergeCell ref="M43:M45"/>
    <mergeCell ref="O43:O45"/>
    <mergeCell ref="R43:R45"/>
    <mergeCell ref="A46:A48"/>
    <mergeCell ref="E46:E48"/>
    <mergeCell ref="G46:G48"/>
    <mergeCell ref="I46:I48"/>
    <mergeCell ref="K46:K48"/>
    <mergeCell ref="M46:M48"/>
    <mergeCell ref="O46:O48"/>
    <mergeCell ref="R46:R48"/>
    <mergeCell ref="A37:A39"/>
    <mergeCell ref="E37:E39"/>
    <mergeCell ref="G37:G39"/>
    <mergeCell ref="I37:I39"/>
    <mergeCell ref="K37:K39"/>
    <mergeCell ref="M37:M39"/>
    <mergeCell ref="O37:O39"/>
    <mergeCell ref="R37:R39"/>
    <mergeCell ref="A40:A42"/>
    <mergeCell ref="E40:E42"/>
    <mergeCell ref="G40:G42"/>
    <mergeCell ref="I40:I42"/>
    <mergeCell ref="K40:K42"/>
    <mergeCell ref="M40:M42"/>
    <mergeCell ref="O40:O42"/>
    <mergeCell ref="R40:R42"/>
    <mergeCell ref="B27:C27"/>
    <mergeCell ref="D27:E27"/>
    <mergeCell ref="F27:G27"/>
    <mergeCell ref="H27:I27"/>
    <mergeCell ref="J27:K27"/>
    <mergeCell ref="N28:O28"/>
    <mergeCell ref="B29:C29"/>
    <mergeCell ref="D29:E29"/>
    <mergeCell ref="F29:G29"/>
    <mergeCell ref="H29:I29"/>
    <mergeCell ref="J29:K29"/>
    <mergeCell ref="L29:M29"/>
    <mergeCell ref="N29:O29"/>
    <mergeCell ref="B28:C28"/>
    <mergeCell ref="D28:E28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M91:O91"/>
    <mergeCell ref="N25:O25"/>
    <mergeCell ref="L27:M27"/>
    <mergeCell ref="N27:O27"/>
    <mergeCell ref="D23:E23"/>
    <mergeCell ref="F23:G23"/>
    <mergeCell ref="H23:I23"/>
    <mergeCell ref="J23:K23"/>
    <mergeCell ref="L23:M23"/>
    <mergeCell ref="N23:O23"/>
    <mergeCell ref="D24:E24"/>
    <mergeCell ref="F24:G24"/>
    <mergeCell ref="H24:I24"/>
    <mergeCell ref="J24:K24"/>
    <mergeCell ref="L24:M24"/>
    <mergeCell ref="N24:O24"/>
    <mergeCell ref="F28:G28"/>
    <mergeCell ref="H28:I28"/>
    <mergeCell ref="J28:K28"/>
    <mergeCell ref="L28:M28"/>
    <mergeCell ref="N26:O26"/>
    <mergeCell ref="D53:E53"/>
    <mergeCell ref="F53:G53"/>
    <mergeCell ref="H53:I53"/>
    <mergeCell ref="D22:E22"/>
    <mergeCell ref="F22:G22"/>
    <mergeCell ref="H22:I22"/>
    <mergeCell ref="J22:K22"/>
    <mergeCell ref="L22:M22"/>
    <mergeCell ref="N22:O22"/>
    <mergeCell ref="U23:V23"/>
    <mergeCell ref="W23:X23"/>
    <mergeCell ref="M121:O121"/>
    <mergeCell ref="P31:R31"/>
    <mergeCell ref="D35:E35"/>
    <mergeCell ref="F35:G35"/>
    <mergeCell ref="H35:I35"/>
    <mergeCell ref="J35:K35"/>
    <mergeCell ref="L35:M35"/>
    <mergeCell ref="N35:O35"/>
    <mergeCell ref="N53:O53"/>
    <mergeCell ref="D52:E52"/>
    <mergeCell ref="F52:G52"/>
    <mergeCell ref="H52:I52"/>
    <mergeCell ref="J52:K52"/>
    <mergeCell ref="L52:M52"/>
    <mergeCell ref="N52:O52"/>
    <mergeCell ref="U53:V53"/>
    <mergeCell ref="A13:A15"/>
    <mergeCell ref="E13:E15"/>
    <mergeCell ref="G13:G15"/>
    <mergeCell ref="I13:I15"/>
    <mergeCell ref="K13:K15"/>
    <mergeCell ref="M13:M15"/>
    <mergeCell ref="A16:A18"/>
    <mergeCell ref="E16:E18"/>
    <mergeCell ref="G16:G18"/>
    <mergeCell ref="I16:I18"/>
    <mergeCell ref="K16:K18"/>
    <mergeCell ref="M16:M18"/>
    <mergeCell ref="A7:A9"/>
    <mergeCell ref="E7:E9"/>
    <mergeCell ref="G7:G9"/>
    <mergeCell ref="I7:I9"/>
    <mergeCell ref="K7:K9"/>
    <mergeCell ref="M7:M9"/>
    <mergeCell ref="A10:A12"/>
    <mergeCell ref="E10:E12"/>
    <mergeCell ref="G10:G12"/>
    <mergeCell ref="I10:I12"/>
    <mergeCell ref="K10:K12"/>
    <mergeCell ref="M10:M12"/>
    <mergeCell ref="O7:O9"/>
    <mergeCell ref="R7:R9"/>
    <mergeCell ref="M31:O31"/>
    <mergeCell ref="M61:O61"/>
    <mergeCell ref="O10:O12"/>
    <mergeCell ref="R10:R12"/>
    <mergeCell ref="O13:O15"/>
    <mergeCell ref="R13:R15"/>
    <mergeCell ref="O16:O18"/>
    <mergeCell ref="R16:R18"/>
    <mergeCell ref="N54:O54"/>
    <mergeCell ref="L56:M56"/>
    <mergeCell ref="N56:O56"/>
    <mergeCell ref="N55:O55"/>
    <mergeCell ref="N57:O57"/>
    <mergeCell ref="P1:R1"/>
    <mergeCell ref="AD1:AF1"/>
    <mergeCell ref="M1:O1"/>
    <mergeCell ref="D5:E5"/>
    <mergeCell ref="F5:G5"/>
    <mergeCell ref="H5:I5"/>
    <mergeCell ref="J5:K5"/>
    <mergeCell ref="L5:M5"/>
    <mergeCell ref="N5:O5"/>
    <mergeCell ref="U5:V5"/>
    <mergeCell ref="W5:X5"/>
    <mergeCell ref="Y5:Z5"/>
    <mergeCell ref="AA5:AB5"/>
    <mergeCell ref="AC5:AD5"/>
    <mergeCell ref="AE5:AF5"/>
    <mergeCell ref="U22:V22"/>
    <mergeCell ref="W22:X22"/>
    <mergeCell ref="Y22:Z22"/>
    <mergeCell ref="AA22:AB22"/>
    <mergeCell ref="AC22:AD22"/>
    <mergeCell ref="U25:V25"/>
    <mergeCell ref="W25:X25"/>
    <mergeCell ref="Y25:Z25"/>
    <mergeCell ref="AA25:AB25"/>
    <mergeCell ref="AC25:AD25"/>
    <mergeCell ref="Y23:Z23"/>
    <mergeCell ref="AA23:AB23"/>
    <mergeCell ref="AC23:AD23"/>
    <mergeCell ref="U26:V26"/>
    <mergeCell ref="W26:X26"/>
    <mergeCell ref="Y26:Z26"/>
    <mergeCell ref="AA26:AB26"/>
    <mergeCell ref="AC26:AD26"/>
    <mergeCell ref="U27:V27"/>
    <mergeCell ref="W27:X27"/>
    <mergeCell ref="Y27:Z27"/>
    <mergeCell ref="AA27:AB27"/>
    <mergeCell ref="AC27:AD27"/>
    <mergeCell ref="U28:V28"/>
    <mergeCell ref="W28:X28"/>
    <mergeCell ref="Y28:Z28"/>
    <mergeCell ref="AA28:AB28"/>
    <mergeCell ref="AC28:AD28"/>
    <mergeCell ref="U29:V29"/>
    <mergeCell ref="W29:X29"/>
    <mergeCell ref="Y29:Z29"/>
    <mergeCell ref="AA29:AB29"/>
    <mergeCell ref="AC29:AD29"/>
    <mergeCell ref="U35:V35"/>
    <mergeCell ref="W35:X35"/>
    <mergeCell ref="Y35:Z35"/>
    <mergeCell ref="AA35:AB35"/>
    <mergeCell ref="AC35:AD35"/>
    <mergeCell ref="AD31:AF31"/>
    <mergeCell ref="AE35:AF35"/>
    <mergeCell ref="U52:V52"/>
    <mergeCell ref="W52:X52"/>
    <mergeCell ref="Y52:Z52"/>
    <mergeCell ref="AA52:AB52"/>
    <mergeCell ref="AC52:AD52"/>
    <mergeCell ref="U55:V55"/>
    <mergeCell ref="W55:X55"/>
    <mergeCell ref="Y55:Z55"/>
    <mergeCell ref="AA55:AB55"/>
    <mergeCell ref="AC55:AD55"/>
    <mergeCell ref="W53:X53"/>
    <mergeCell ref="Y53:Z53"/>
    <mergeCell ref="AA53:AB53"/>
    <mergeCell ref="AC53:AD53"/>
    <mergeCell ref="U56:V56"/>
    <mergeCell ref="W56:X56"/>
    <mergeCell ref="Y56:Z56"/>
    <mergeCell ref="AA56:AB56"/>
    <mergeCell ref="AC56:AD56"/>
    <mergeCell ref="U57:V57"/>
    <mergeCell ref="W57:X57"/>
    <mergeCell ref="Y57:Z57"/>
    <mergeCell ref="AA57:AB57"/>
    <mergeCell ref="AC57:AD57"/>
    <mergeCell ref="U58:V58"/>
    <mergeCell ref="W58:X58"/>
    <mergeCell ref="Y58:Z58"/>
    <mergeCell ref="AA58:AB58"/>
    <mergeCell ref="AC58:AD58"/>
    <mergeCell ref="U59:V59"/>
    <mergeCell ref="W59:X59"/>
    <mergeCell ref="Y59:Z59"/>
    <mergeCell ref="AA59:AB59"/>
    <mergeCell ref="AC59:AD59"/>
    <mergeCell ref="W65:X65"/>
    <mergeCell ref="Y65:Z65"/>
    <mergeCell ref="AA65:AB65"/>
    <mergeCell ref="AC65:AD65"/>
    <mergeCell ref="AE65:AF65"/>
    <mergeCell ref="U82:V82"/>
    <mergeCell ref="W82:X82"/>
    <mergeCell ref="Y82:Z82"/>
    <mergeCell ref="AA82:AB82"/>
    <mergeCell ref="AC82:AD82"/>
    <mergeCell ref="U85:V85"/>
    <mergeCell ref="W85:X85"/>
    <mergeCell ref="Y85:Z85"/>
    <mergeCell ref="AA85:AB85"/>
    <mergeCell ref="AC85:AD85"/>
    <mergeCell ref="U86:V86"/>
    <mergeCell ref="W86:X86"/>
    <mergeCell ref="Y86:Z86"/>
    <mergeCell ref="AA86:AB86"/>
    <mergeCell ref="AC86:AD86"/>
    <mergeCell ref="AE95:AF95"/>
    <mergeCell ref="U112:V112"/>
    <mergeCell ref="W112:X112"/>
    <mergeCell ref="Y112:Z112"/>
    <mergeCell ref="AA112:AB112"/>
    <mergeCell ref="AC112:AD112"/>
    <mergeCell ref="W89:X89"/>
    <mergeCell ref="Y89:Z89"/>
    <mergeCell ref="AA89:AB89"/>
    <mergeCell ref="AC89:AD89"/>
    <mergeCell ref="U95:V95"/>
    <mergeCell ref="W95:X95"/>
    <mergeCell ref="Y95:Z95"/>
    <mergeCell ref="AA95:AB95"/>
    <mergeCell ref="AC95:AD95"/>
    <mergeCell ref="AD91:AF91"/>
    <mergeCell ref="U115:V115"/>
    <mergeCell ref="W115:X115"/>
    <mergeCell ref="Y115:Z115"/>
    <mergeCell ref="AA115:AB115"/>
    <mergeCell ref="AC115:AD115"/>
    <mergeCell ref="U116:V116"/>
    <mergeCell ref="W116:X116"/>
    <mergeCell ref="Y116:Z116"/>
    <mergeCell ref="AA116:AB116"/>
    <mergeCell ref="AC116:AD116"/>
    <mergeCell ref="W119:X119"/>
    <mergeCell ref="Y119:Z119"/>
    <mergeCell ref="AA119:AB119"/>
    <mergeCell ref="AC119:AD119"/>
    <mergeCell ref="U125:V125"/>
    <mergeCell ref="W125:X125"/>
    <mergeCell ref="Y125:Z125"/>
    <mergeCell ref="AA125:AB125"/>
    <mergeCell ref="AC125:AD125"/>
    <mergeCell ref="AD121:AF121"/>
    <mergeCell ref="AE125:AF125"/>
    <mergeCell ref="U142:V142"/>
    <mergeCell ref="W142:X142"/>
    <mergeCell ref="Y142:Z142"/>
    <mergeCell ref="AA142:AB142"/>
    <mergeCell ref="AC142:AD142"/>
    <mergeCell ref="U143:V143"/>
    <mergeCell ref="W143:X143"/>
    <mergeCell ref="Y143:Z143"/>
    <mergeCell ref="AA143:AB143"/>
    <mergeCell ref="AC143:AD143"/>
    <mergeCell ref="U145:V145"/>
    <mergeCell ref="W145:X145"/>
    <mergeCell ref="Y145:Z145"/>
    <mergeCell ref="AA145:AB145"/>
    <mergeCell ref="AC145:AD145"/>
    <mergeCell ref="U146:V146"/>
    <mergeCell ref="W146:X146"/>
    <mergeCell ref="Y146:Z146"/>
    <mergeCell ref="AA146:AB146"/>
    <mergeCell ref="AC146:AD146"/>
    <mergeCell ref="U147:V147"/>
    <mergeCell ref="W147:X147"/>
    <mergeCell ref="Y147:Z147"/>
    <mergeCell ref="AA147:AB147"/>
    <mergeCell ref="AC147:AD147"/>
    <mergeCell ref="U148:V148"/>
    <mergeCell ref="W148:X148"/>
    <mergeCell ref="Y148:Z148"/>
    <mergeCell ref="AA148:AB148"/>
    <mergeCell ref="AC148:AD148"/>
    <mergeCell ref="AE155:AF155"/>
    <mergeCell ref="U172:V172"/>
    <mergeCell ref="W172:X172"/>
    <mergeCell ref="Y172:Z172"/>
    <mergeCell ref="AA172:AB172"/>
    <mergeCell ref="AC172:AD172"/>
    <mergeCell ref="U149:V149"/>
    <mergeCell ref="W149:X149"/>
    <mergeCell ref="Y149:Z149"/>
    <mergeCell ref="AA149:AB149"/>
    <mergeCell ref="AC149:AD149"/>
    <mergeCell ref="U155:V155"/>
    <mergeCell ref="W155:X155"/>
    <mergeCell ref="Y155:Z155"/>
    <mergeCell ref="AA155:AB155"/>
    <mergeCell ref="AC155:AD155"/>
    <mergeCell ref="U175:V175"/>
    <mergeCell ref="W175:X175"/>
    <mergeCell ref="Y175:Z175"/>
    <mergeCell ref="AA175:AB175"/>
    <mergeCell ref="AC175:AD175"/>
    <mergeCell ref="U176:V176"/>
    <mergeCell ref="W176:X176"/>
    <mergeCell ref="Y176:Z176"/>
    <mergeCell ref="AA176:AB176"/>
    <mergeCell ref="AC176:AD176"/>
    <mergeCell ref="U179:V179"/>
    <mergeCell ref="W179:X179"/>
    <mergeCell ref="Y179:Z179"/>
    <mergeCell ref="AA179:AB179"/>
    <mergeCell ref="AC179:AD179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</mergeCells>
  <dataValidations count="1">
    <dataValidation type="whole" allowBlank="1" showErrorMessage="1" error="Es sind nur Zahlen zwischen -300 und 300 erlaubt!" sqref="U157:AD168 U127:AD138 U37:AD48 U67:AD78 U97:AD108 U7:AD18" xr:uid="{339683C7-29C4-46DF-8447-25CBB37C1AD8}">
      <formula1>-300</formula1>
      <formula2>300</formula2>
    </dataValidation>
  </dataValidations>
  <pageMargins left="0.70866141732283472" right="0.70866141732283472" top="0.78740157480314965" bottom="0.43307086614173229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5AF6-201E-4E42-A7B3-C3FFB11FFF48}">
  <sheetPr>
    <tabColor rgb="FFFFFF00"/>
  </sheetPr>
  <dimension ref="A1:AE22"/>
  <sheetViews>
    <sheetView workbookViewId="0">
      <selection activeCell="D85" sqref="D85:M85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16" width="4.42578125" customWidth="1"/>
    <col min="17" max="17" width="11.42578125" customWidth="1"/>
    <col min="18" max="18" width="14.28515625" customWidth="1"/>
    <col min="19" max="26" width="11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 t="s">
        <v>1785</v>
      </c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 t="str">
        <f>+Erfassung4!AD1</f>
        <v>02.03.</v>
      </c>
      <c r="O1" s="378"/>
      <c r="P1" s="51"/>
      <c r="Q1" s="51"/>
      <c r="AA1" s="215" t="s">
        <v>2091</v>
      </c>
    </row>
    <row r="2" spans="1:31" ht="28.5" customHeight="1" x14ac:dyDescent="0.2">
      <c r="A2" s="379" t="str">
        <f>"Saison "&amp;Spielorte!C18&amp;"     -     Spieltag "&amp;Erfassung4!AD2&amp;"     -     "&amp;TEXT(Erfassung4!AD1,"T. MMMM JJJJ")</f>
        <v>Saison 2024/2025     -     Spieltag 4     -     02.03.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</row>
    <row r="3" spans="1:31" ht="28.5" customHeight="1" x14ac:dyDescent="0.2">
      <c r="A3" s="379" t="str">
        <f>+Erfassung4!V2</f>
        <v>Regensburg Super Bowl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</row>
    <row r="4" spans="1:31" ht="28.5" customHeight="1" thickBot="1" x14ac:dyDescent="0.35">
      <c r="A4" s="64"/>
      <c r="B4" s="64"/>
      <c r="C4" s="205" t="s">
        <v>1786</v>
      </c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INDEX(Erfassung4!$S:$S,MATCH($A7,Erfassung4!$BN:$BN,0)-17)</f>
        <v>Kings Club Bayreuth Land 3</v>
      </c>
      <c r="C7" s="99">
        <f>INDEX(Erfassung4!U:U,MATCH($A7,Erfassung4!$BN:$BN,0)-1)</f>
        <v>717</v>
      </c>
      <c r="D7" s="100">
        <f>INDEX(Erfassung4!V:V,MATCH($A7,Erfassung4!$BN:$BN,0))</f>
        <v>5</v>
      </c>
      <c r="E7" s="99">
        <f>INDEX(Erfassung4!W:W,MATCH($A7,Erfassung4!$BN:$BN,0)-1)</f>
        <v>714</v>
      </c>
      <c r="F7" s="100">
        <f>INDEX(Erfassung4!X:X,MATCH($A7,Erfassung4!$BN:$BN,0))</f>
        <v>1</v>
      </c>
      <c r="G7" s="99">
        <f>INDEX(Erfassung4!Y:Y,MATCH($A7,Erfassung4!$BN:$BN,0)-1)</f>
        <v>768</v>
      </c>
      <c r="H7" s="100">
        <f>INDEX(Erfassung4!Z:Z,MATCH($A7,Erfassung4!$BN:$BN,0))</f>
        <v>5</v>
      </c>
      <c r="I7" s="99">
        <f>INDEX(Erfassung4!AA:AA,MATCH($A7,Erfassung4!$BN:$BN,0)-1)</f>
        <v>660</v>
      </c>
      <c r="J7" s="100">
        <f>INDEX(Erfassung4!AB:AB,MATCH($A7,Erfassung4!$BN:$BN,0))</f>
        <v>4</v>
      </c>
      <c r="K7" s="99">
        <f>INDEX(Erfassung4!AC:AC,MATCH($A7,Erfassung4!$BN:$BN,0)-1)</f>
        <v>725</v>
      </c>
      <c r="L7" s="100">
        <f>INDEX(Erfassung4!AD:AD,MATCH($A7,Erfassung4!$BN:$BN,0))</f>
        <v>4</v>
      </c>
      <c r="M7" s="101">
        <f t="shared" ref="M7:N12" si="0">SUM(C7+E7+G7+I7+K7)</f>
        <v>3584</v>
      </c>
      <c r="N7" s="102">
        <f t="shared" si="0"/>
        <v>19</v>
      </c>
      <c r="O7" s="76">
        <f>IFERROR(M7/INDEX(Erfassung4!BF:BF,MATCH(A7,Erfassung4!BN:BN,0)),0)</f>
        <v>179.2</v>
      </c>
      <c r="P7" s="122"/>
      <c r="Q7" s="51"/>
      <c r="AA7" s="213">
        <f>INDEX(TabGes3!I:I,MATCH(B7,TabGes3!B:B,0))+M7</f>
        <v>13779</v>
      </c>
      <c r="AB7" s="213">
        <f>INDEX(TabGes3!J:J,MATCH(B7,TabGes3!B:B,0))+N7</f>
        <v>61.5</v>
      </c>
      <c r="AC7" s="215">
        <f t="shared" ref="AC7:AC12" si="1">+AB7+AA7/1000000000</f>
        <v>61.500013779</v>
      </c>
      <c r="AD7" s="215">
        <f t="shared" ref="AD7:AD12" si="2">RANK(AC7,AC:AC)</f>
        <v>4</v>
      </c>
      <c r="AE7" s="215">
        <f>INDEX(Tabelle3!AE:AE,MATCH(B7,Tabelle3!B:B,0))+SUMIF(Erfassung4!BQ:BQ,B7,Erfassung4!BF:BF)</f>
        <v>80</v>
      </c>
    </row>
    <row r="8" spans="1:31" ht="42" customHeight="1" thickBot="1" x14ac:dyDescent="0.25">
      <c r="A8" s="209">
        <v>2</v>
      </c>
      <c r="B8" s="121" t="str">
        <f>INDEX(Erfassung4!$S:$S,MATCH($A8,Erfassung4!$BN:$BN,0)-17)</f>
        <v>Castra Regina Regensburg 2</v>
      </c>
      <c r="C8" s="99">
        <f>INDEX(Erfassung4!U:U,MATCH($A8,Erfassung4!$BN:$BN,0)-1)</f>
        <v>793</v>
      </c>
      <c r="D8" s="100">
        <f>INDEX(Erfassung4!V:V,MATCH($A8,Erfassung4!$BN:$BN,0))</f>
        <v>5</v>
      </c>
      <c r="E8" s="99">
        <f>INDEX(Erfassung4!W:W,MATCH($A8,Erfassung4!$BN:$BN,0)-1)</f>
        <v>739</v>
      </c>
      <c r="F8" s="100">
        <f>INDEX(Erfassung4!X:X,MATCH($A8,Erfassung4!$BN:$BN,0))</f>
        <v>1</v>
      </c>
      <c r="G8" s="99">
        <f>INDEX(Erfassung4!Y:Y,MATCH($A8,Erfassung4!$BN:$BN,0)-1)</f>
        <v>806</v>
      </c>
      <c r="H8" s="100">
        <f>INDEX(Erfassung4!Z:Z,MATCH($A8,Erfassung4!$BN:$BN,0))</f>
        <v>5</v>
      </c>
      <c r="I8" s="99">
        <f>INDEX(Erfassung4!AA:AA,MATCH($A8,Erfassung4!$BN:$BN,0)-1)</f>
        <v>756</v>
      </c>
      <c r="J8" s="100">
        <f>INDEX(Erfassung4!AB:AB,MATCH($A8,Erfassung4!$BN:$BN,0))</f>
        <v>5</v>
      </c>
      <c r="K8" s="99">
        <f>INDEX(Erfassung4!AC:AC,MATCH($A8,Erfassung4!$BN:$BN,0)-1)</f>
        <v>676</v>
      </c>
      <c r="L8" s="100">
        <f>INDEX(Erfassung4!AD:AD,MATCH($A8,Erfassung4!$BN:$BN,0))</f>
        <v>2</v>
      </c>
      <c r="M8" s="101">
        <f t="shared" si="0"/>
        <v>3770</v>
      </c>
      <c r="N8" s="102">
        <f t="shared" si="0"/>
        <v>18</v>
      </c>
      <c r="O8" s="76">
        <f>IFERROR(M8/INDEX(Erfassung4!BF:BF,MATCH(A8,Erfassung4!BN:BN,0)),0)</f>
        <v>188.5</v>
      </c>
      <c r="P8" s="122"/>
      <c r="Q8" s="51"/>
      <c r="AA8" s="213">
        <f>INDEX(TabGes3!I:I,MATCH(B8,TabGes3!B:B,0))+M8</f>
        <v>14622</v>
      </c>
      <c r="AB8" s="213">
        <f>INDEX(TabGes3!J:J,MATCH(B8,TabGes3!B:B,0))+N8</f>
        <v>71</v>
      </c>
      <c r="AC8" s="215">
        <f t="shared" si="1"/>
        <v>71.000014621999995</v>
      </c>
      <c r="AD8" s="215">
        <f t="shared" si="2"/>
        <v>1</v>
      </c>
      <c r="AE8" s="215">
        <f>INDEX(Tabelle3!AE:AE,MATCH(B8,Tabelle3!B:B,0))+SUMIF(Erfassung4!BQ:BQ,B8,Erfassung4!BF:BF)</f>
        <v>80</v>
      </c>
    </row>
    <row r="9" spans="1:31" ht="42" customHeight="1" thickBot="1" x14ac:dyDescent="0.25">
      <c r="A9" s="209">
        <v>3</v>
      </c>
      <c r="B9" s="121" t="str">
        <f>INDEX(Erfassung4!$S:$S,MATCH($A9,Erfassung4!$BN:$BN,0)-17)</f>
        <v>Castra Regina Regensburg 3</v>
      </c>
      <c r="C9" s="99">
        <f>INDEX(Erfassung4!U:U,MATCH($A9,Erfassung4!$BN:$BN,0)-1)</f>
        <v>760</v>
      </c>
      <c r="D9" s="100">
        <f>INDEX(Erfassung4!V:V,MATCH($A9,Erfassung4!$BN:$BN,0))</f>
        <v>5</v>
      </c>
      <c r="E9" s="99">
        <f>INDEX(Erfassung4!W:W,MATCH($A9,Erfassung4!$BN:$BN,0)-1)</f>
        <v>777</v>
      </c>
      <c r="F9" s="100">
        <f>INDEX(Erfassung4!X:X,MATCH($A9,Erfassung4!$BN:$BN,0))</f>
        <v>5</v>
      </c>
      <c r="G9" s="99">
        <f>INDEX(Erfassung4!Y:Y,MATCH($A9,Erfassung4!$BN:$BN,0)-1)</f>
        <v>667</v>
      </c>
      <c r="H9" s="100">
        <f>INDEX(Erfassung4!Z:Z,MATCH($A9,Erfassung4!$BN:$BN,0))</f>
        <v>1</v>
      </c>
      <c r="I9" s="99">
        <f>INDEX(Erfassung4!AA:AA,MATCH($A9,Erfassung4!$BN:$BN,0)-1)</f>
        <v>617</v>
      </c>
      <c r="J9" s="100">
        <f>INDEX(Erfassung4!AB:AB,MATCH($A9,Erfassung4!$BN:$BN,0))</f>
        <v>2</v>
      </c>
      <c r="K9" s="99">
        <f>INDEX(Erfassung4!AC:AC,MATCH($A9,Erfassung4!$BN:$BN,0)-1)</f>
        <v>729</v>
      </c>
      <c r="L9" s="100">
        <f>INDEX(Erfassung4!AD:AD,MATCH($A9,Erfassung4!$BN:$BN,0))</f>
        <v>4</v>
      </c>
      <c r="M9" s="101">
        <f t="shared" si="0"/>
        <v>3550</v>
      </c>
      <c r="N9" s="102">
        <f t="shared" si="0"/>
        <v>17</v>
      </c>
      <c r="O9" s="76">
        <f>IFERROR(M9/INDEX(Erfassung4!BF:BF,MATCH(A9,Erfassung4!BN:BN,0)),0)</f>
        <v>177.5</v>
      </c>
      <c r="P9" s="122"/>
      <c r="Q9" s="51"/>
      <c r="AA9" s="213">
        <f>INDEX(TabGes3!I:I,MATCH(B9,TabGes3!B:B,0))+M9</f>
        <v>14118</v>
      </c>
      <c r="AB9" s="213">
        <f>INDEX(TabGes3!J:J,MATCH(B9,TabGes3!B:B,0))+N9</f>
        <v>70</v>
      </c>
      <c r="AC9" s="215">
        <f t="shared" si="1"/>
        <v>70.000014117999996</v>
      </c>
      <c r="AD9" s="215">
        <f t="shared" si="2"/>
        <v>2</v>
      </c>
      <c r="AE9" s="215">
        <f>INDEX(Tabelle3!AE:AE,MATCH(B9,Tabelle3!B:B,0))+SUMIF(Erfassung4!BQ:BQ,B9,Erfassung4!BF:BF)</f>
        <v>80</v>
      </c>
    </row>
    <row r="10" spans="1:31" ht="42" customHeight="1" thickBot="1" x14ac:dyDescent="0.25">
      <c r="A10" s="209">
        <v>4</v>
      </c>
      <c r="B10" s="121" t="str">
        <f>INDEX(Erfassung4!$S:$S,MATCH($A10,Erfassung4!$BN:$BN,0)-17)</f>
        <v>Herzogenaurach 1</v>
      </c>
      <c r="C10" s="99">
        <f>INDEX(Erfassung4!U:U,MATCH($A10,Erfassung4!$BN:$BN,0)-1)</f>
        <v>718</v>
      </c>
      <c r="D10" s="100">
        <f>INDEX(Erfassung4!V:V,MATCH($A10,Erfassung4!$BN:$BN,0))</f>
        <v>1</v>
      </c>
      <c r="E10" s="99">
        <f>INDEX(Erfassung4!W:W,MATCH($A10,Erfassung4!$BN:$BN,0)-1)</f>
        <v>812</v>
      </c>
      <c r="F10" s="100">
        <f>INDEX(Erfassung4!X:X,MATCH($A10,Erfassung4!$BN:$BN,0))</f>
        <v>5</v>
      </c>
      <c r="G10" s="99">
        <f>INDEX(Erfassung4!Y:Y,MATCH($A10,Erfassung4!$BN:$BN,0)-1)</f>
        <v>744</v>
      </c>
      <c r="H10" s="100">
        <f>INDEX(Erfassung4!Z:Z,MATCH($A10,Erfassung4!$BN:$BN,0))</f>
        <v>2</v>
      </c>
      <c r="I10" s="99">
        <f>INDEX(Erfassung4!AA:AA,MATCH($A10,Erfassung4!$BN:$BN,0)-1)</f>
        <v>719</v>
      </c>
      <c r="J10" s="100">
        <f>INDEX(Erfassung4!AB:AB,MATCH($A10,Erfassung4!$BN:$BN,0))</f>
        <v>4</v>
      </c>
      <c r="K10" s="99">
        <f>INDEX(Erfassung4!AC:AC,MATCH($A10,Erfassung4!$BN:$BN,0)-1)</f>
        <v>692</v>
      </c>
      <c r="L10" s="100">
        <f>INDEX(Erfassung4!AD:AD,MATCH($A10,Erfassung4!$BN:$BN,0))</f>
        <v>3</v>
      </c>
      <c r="M10" s="101">
        <f t="shared" si="0"/>
        <v>3685</v>
      </c>
      <c r="N10" s="102">
        <f t="shared" si="0"/>
        <v>15</v>
      </c>
      <c r="O10" s="76">
        <f>IFERROR(M10/INDEX(Erfassung4!BF:BF,MATCH(A10,Erfassung4!BN:BN,0)),0)</f>
        <v>184.25</v>
      </c>
      <c r="P10" s="122"/>
      <c r="Q10" s="51"/>
      <c r="AA10" s="213">
        <f>INDEX(TabGes3!I:I,MATCH(B10,TabGes3!B:B,0))+M10</f>
        <v>14281</v>
      </c>
      <c r="AB10" s="213">
        <f>INDEX(TabGes3!J:J,MATCH(B10,TabGes3!B:B,0))+N10</f>
        <v>57</v>
      </c>
      <c r="AC10" s="215">
        <f t="shared" si="1"/>
        <v>57.000014280999999</v>
      </c>
      <c r="AD10" s="215">
        <f t="shared" si="2"/>
        <v>5</v>
      </c>
      <c r="AE10" s="215">
        <f>INDEX(Tabelle3!AE:AE,MATCH(B10,Tabelle3!B:B,0))+SUMIF(Erfassung4!BQ:BQ,B10,Erfassung4!BF:BF)</f>
        <v>80</v>
      </c>
    </row>
    <row r="11" spans="1:31" ht="42" customHeight="1" thickBot="1" x14ac:dyDescent="0.25">
      <c r="A11" s="209">
        <v>5</v>
      </c>
      <c r="B11" s="121" t="str">
        <f>INDEX(Erfassung4!$S:$S,MATCH($A11,Erfassung4!$BN:$BN,0)-17)</f>
        <v>Adler Nürnberg 1</v>
      </c>
      <c r="C11" s="99">
        <f>INDEX(Erfassung4!U:U,MATCH($A11,Erfassung4!$BN:$BN,0)-1)</f>
        <v>604</v>
      </c>
      <c r="D11" s="100">
        <f>INDEX(Erfassung4!V:V,MATCH($A11,Erfassung4!$BN:$BN,0))</f>
        <v>1</v>
      </c>
      <c r="E11" s="99">
        <f>INDEX(Erfassung4!W:W,MATCH($A11,Erfassung4!$BN:$BN,0)-1)</f>
        <v>741</v>
      </c>
      <c r="F11" s="100">
        <f>INDEX(Erfassung4!X:X,MATCH($A11,Erfassung4!$BN:$BN,0))</f>
        <v>4</v>
      </c>
      <c r="G11" s="99">
        <f>INDEX(Erfassung4!Y:Y,MATCH($A11,Erfassung4!$BN:$BN,0)-1)</f>
        <v>754</v>
      </c>
      <c r="H11" s="100">
        <f>INDEX(Erfassung4!Z:Z,MATCH($A11,Erfassung4!$BN:$BN,0))</f>
        <v>4</v>
      </c>
      <c r="I11" s="99">
        <f>INDEX(Erfassung4!AA:AA,MATCH($A11,Erfassung4!$BN:$BN,0)-1)</f>
        <v>693</v>
      </c>
      <c r="J11" s="100">
        <f>INDEX(Erfassung4!AB:AB,MATCH($A11,Erfassung4!$BN:$BN,0))</f>
        <v>1</v>
      </c>
      <c r="K11" s="99">
        <f>INDEX(Erfassung4!AC:AC,MATCH($A11,Erfassung4!$BN:$BN,0)-1)</f>
        <v>700</v>
      </c>
      <c r="L11" s="100">
        <f>INDEX(Erfassung4!AD:AD,MATCH($A11,Erfassung4!$BN:$BN,0))</f>
        <v>2</v>
      </c>
      <c r="M11" s="101">
        <f t="shared" si="0"/>
        <v>3492</v>
      </c>
      <c r="N11" s="102">
        <f t="shared" si="0"/>
        <v>12</v>
      </c>
      <c r="O11" s="76">
        <f>IFERROR(M11/INDEX(Erfassung4!BF:BF,MATCH(A11,Erfassung4!BN:BN,0)),0)</f>
        <v>174.6</v>
      </c>
      <c r="P11" s="122"/>
      <c r="Q11" s="51"/>
      <c r="AA11" s="213">
        <f>INDEX(TabGes3!I:I,MATCH(B11,TabGes3!B:B,0))+M11</f>
        <v>13801</v>
      </c>
      <c r="AB11" s="213">
        <f>INDEX(TabGes3!J:J,MATCH(B11,TabGes3!B:B,0))+N11</f>
        <v>62.5</v>
      </c>
      <c r="AC11" s="215">
        <f t="shared" si="1"/>
        <v>62.500013801000001</v>
      </c>
      <c r="AD11" s="215">
        <f t="shared" si="2"/>
        <v>3</v>
      </c>
      <c r="AE11" s="215">
        <f>INDEX(Tabelle3!AE:AE,MATCH(B11,Tabelle3!B:B,0))+SUMIF(Erfassung4!BQ:BQ,B11,Erfassung4!BF:BF)</f>
        <v>80</v>
      </c>
    </row>
    <row r="12" spans="1:31" ht="42" customHeight="1" thickBot="1" x14ac:dyDescent="0.25">
      <c r="A12" s="209">
        <v>6</v>
      </c>
      <c r="B12" s="121" t="str">
        <f>INDEX(Erfassung4!$S:$S,MATCH($A12,Erfassung4!$BN:$BN,0)-17)</f>
        <v>Kings Club Bayreuth Land 2</v>
      </c>
      <c r="C12" s="99">
        <f>INDEX(Erfassung4!U:U,MATCH($A12,Erfassung4!$BN:$BN,0)-1)</f>
        <v>640</v>
      </c>
      <c r="D12" s="100">
        <f>INDEX(Erfassung4!V:V,MATCH($A12,Erfassung4!$BN:$BN,0))</f>
        <v>1</v>
      </c>
      <c r="E12" s="99">
        <f>INDEX(Erfassung4!W:W,MATCH($A12,Erfassung4!$BN:$BN,0)-1)</f>
        <v>727</v>
      </c>
      <c r="F12" s="100">
        <f>INDEX(Erfassung4!X:X,MATCH($A12,Erfassung4!$BN:$BN,0))</f>
        <v>2</v>
      </c>
      <c r="G12" s="99">
        <f>INDEX(Erfassung4!Y:Y,MATCH($A12,Erfassung4!$BN:$BN,0)-1)</f>
        <v>670</v>
      </c>
      <c r="H12" s="100">
        <f>INDEX(Erfassung4!Z:Z,MATCH($A12,Erfassung4!$BN:$BN,0))</f>
        <v>1</v>
      </c>
      <c r="I12" s="99">
        <f>INDEX(Erfassung4!AA:AA,MATCH($A12,Erfassung4!$BN:$BN,0)-1)</f>
        <v>630</v>
      </c>
      <c r="J12" s="100">
        <f>INDEX(Erfassung4!AB:AB,MATCH($A12,Erfassung4!$BN:$BN,0))</f>
        <v>2</v>
      </c>
      <c r="K12" s="99">
        <f>INDEX(Erfassung4!AC:AC,MATCH($A12,Erfassung4!$BN:$BN,0)-1)</f>
        <v>690</v>
      </c>
      <c r="L12" s="100">
        <f>INDEX(Erfassung4!AD:AD,MATCH($A12,Erfassung4!$BN:$BN,0))</f>
        <v>3</v>
      </c>
      <c r="M12" s="101">
        <f t="shared" si="0"/>
        <v>3357</v>
      </c>
      <c r="N12" s="102">
        <f t="shared" si="0"/>
        <v>9</v>
      </c>
      <c r="O12" s="76">
        <f>IFERROR(M12/INDEX(Erfassung4!BF:BF,MATCH(A12,Erfassung4!BN:BN,0)),0)</f>
        <v>167.85</v>
      </c>
      <c r="P12" s="122"/>
      <c r="Q12" s="51"/>
      <c r="AA12" s="213">
        <f>INDEX(TabGes3!I:I,MATCH(B12,TabGes3!B:B,0))+M12</f>
        <v>13113</v>
      </c>
      <c r="AB12" s="213">
        <f>INDEX(TabGes3!J:J,MATCH(B12,TabGes3!B:B,0))+N12</f>
        <v>38</v>
      </c>
      <c r="AC12" s="215">
        <f t="shared" si="1"/>
        <v>38.000013113000001</v>
      </c>
      <c r="AD12" s="215">
        <f t="shared" si="2"/>
        <v>6</v>
      </c>
      <c r="AE12" s="215">
        <f>INDEX(Tabelle3!AE:AE,MATCH(B12,Tabelle3!B:B,0))+SUMIF(Erfassung4!BQ:BQ,B12,Erfassung4!BF:BF)</f>
        <v>80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</row>
    <row r="16" spans="1:31" x14ac:dyDescent="0.2">
      <c r="C16" s="382"/>
      <c r="D16" s="382"/>
      <c r="E16" s="382"/>
      <c r="F16" s="382"/>
      <c r="G16" s="382"/>
      <c r="H16" s="382"/>
    </row>
    <row r="17" spans="2:16" x14ac:dyDescent="0.2">
      <c r="B17" s="106" t="s">
        <v>1817</v>
      </c>
      <c r="C17" t="str">
        <f>IFERROR(INDEX(Erfassung4!S:S,MATCH(1,Erfassung4!BR:BR,0)),"")</f>
        <v>Fischer, Nick</v>
      </c>
      <c r="H17" t="str">
        <f>INDEX(Erfassung4!BQ:BQ,MATCH(C17,Erfassung4!S:S,0))</f>
        <v>Kings Club Bayreuth Land 3</v>
      </c>
      <c r="N17" s="104">
        <f>IFERROR(ROUND(INDEX(Erfassung4!BP:BP,MATCH(1,Erfassung4!BR:BR,0)),0),"")</f>
        <v>255</v>
      </c>
    </row>
    <row r="18" spans="2:16" x14ac:dyDescent="0.2">
      <c r="B18" s="106"/>
      <c r="C18" t="str">
        <f>IF(N18="","",IFERROR(INDEX(Erfassung4!S:S,MATCH(2,Erfassung4!BR:BR,0)),""))</f>
        <v/>
      </c>
      <c r="H18" t="str">
        <f>IF(C18="","",INDEX(Erfassung4!BQ:BQ,MATCH(C18,Erfassung4!S:S,0)))</f>
        <v/>
      </c>
      <c r="N18" s="105" t="str">
        <f>IF(IFERROR(ROUND(INDEX(Erfassung4!BP:BP,MATCH(2,Erfassung4!BR:BR,0)),0),0)=0,"",IFERROR(ROUND(INDEX(Erfassung4!BP:BP,MATCH(2,Erfassung4!BR:BR,0)),0),0))</f>
        <v/>
      </c>
    </row>
    <row r="19" spans="2:16" x14ac:dyDescent="0.2">
      <c r="B19" s="106"/>
      <c r="C19" t="str">
        <f>IF(N19="","",IFERROR(INDEX(Erfassung4!S:S,MATCH(3,Erfassung4!BR:BR,0)),""))</f>
        <v/>
      </c>
      <c r="H19" t="str">
        <f>IF(C19="","",INDEX(Erfassung4!BQ:BQ,MATCH(C19,Erfassung4!S:S,0)))</f>
        <v/>
      </c>
      <c r="N19" s="105" t="str">
        <f>IF(IFERROR(ROUND(INDEX(Erfassung4!BP:BP,MATCH(3,Erfassung4!BR:BR,0)),0),0)=0,"",IFERROR(ROUND(INDEX(Erfassung4!BP:BP,MATCH(3,Erfassung4!BR:BR,0)),0),""))</f>
        <v/>
      </c>
    </row>
    <row r="20" spans="2:16" x14ac:dyDescent="0.2">
      <c r="B20" s="106" t="s">
        <v>1818</v>
      </c>
      <c r="C20" t="str">
        <f>IFERROR(INDEX(Erfassung4!S:S,MATCH(1,Erfassung4!BV:BV,0)),"")</f>
        <v>Inkermann, Matthias</v>
      </c>
      <c r="H20" t="str">
        <f>INDEX(Erfassung4!BQ:BQ,MATCH(C20,Erfassung4!S:S,0))</f>
        <v>Herzogenaurach 1</v>
      </c>
      <c r="N20" s="387" t="str">
        <f>IFERROR(ROUND(INDEX(Erfassung4!BS:BS,MATCH(1,Erfassung4!BV:BV,0)),0),"")&amp;"  /  "&amp;ROUND(IFERROR(ROUND(INDEX(Erfassung4!BS:BS,MATCH(1,Erfassung4!BV:BV,0)),0),"")/5,2)</f>
        <v>1073  /  214,6</v>
      </c>
      <c r="O20" s="387"/>
      <c r="P20" s="92"/>
    </row>
    <row r="21" spans="2:16" x14ac:dyDescent="0.2">
      <c r="C21" t="str">
        <f>IF(N21="","",IFERROR(INDEX(Erfassung4!S:S,MATCH(2,Erfassung4!BV:BV,0)),""))</f>
        <v/>
      </c>
      <c r="E21" s="6"/>
      <c r="H21" t="str">
        <f>IF(C21="","",INDEX(Erfassung4!BQ:BQ,MATCH(C21,Erfassung4!S:S,0)))</f>
        <v/>
      </c>
      <c r="N21" s="105" t="str">
        <f>IF(IFERROR(ROUND(INDEX(Erfassung4!BS:BS,MATCH(2,Erfassung4!BV:BV,0)),0),0)=0,"",IFERROR(ROUND(INDEX(Erfassung4!BS:BS,MATCH(2,Erfassung4!BV:BV,0)),0),0))</f>
        <v/>
      </c>
    </row>
    <row r="22" spans="2:16" x14ac:dyDescent="0.2">
      <c r="C22" t="str">
        <f>IF(N22="","",IFERROR(INDEX(Erfassung4!S:S,MATCH(3,Erfassung4!BV:BV,0)),""))</f>
        <v/>
      </c>
      <c r="E22" s="6"/>
      <c r="H22" t="str">
        <f>IF(C22="","",INDEX(Erfassung4!BQ:BQ,MATCH(C22,Erfassung4!S:S,0)))</f>
        <v/>
      </c>
      <c r="N22" s="105" t="str">
        <f>IF(IFERROR(ROUND(INDEX(Erfassung4!BS:BS,MATCH(3,Erfassung4!BV:BV,0)),0),0)=0,"",IFERROR(ROUND(INDEX(Erfassung4!BS:BS,MATCH(3,Erfassung4!BV:BV,0)),0),0))</f>
        <v/>
      </c>
    </row>
  </sheetData>
  <sheetProtection password="D19C" sheet="1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6:H16"/>
    <mergeCell ref="N20:O20"/>
    <mergeCell ref="M5:N5"/>
    <mergeCell ref="O5:O6"/>
    <mergeCell ref="K5:L5"/>
    <mergeCell ref="B15:O15"/>
  </mergeCells>
  <conditionalFormatting sqref="C7:L12">
    <cfRule type="top10" dxfId="7" priority="2" stopIfTrue="1" rank="1"/>
  </conditionalFormatting>
  <conditionalFormatting sqref="M7:M12">
    <cfRule type="top10" dxfId="6" priority="1" stopIfTrue="1" rank="1"/>
  </conditionalFormatting>
  <printOptions horizontalCentered="1" verticalCentered="1"/>
  <pageMargins left="0" right="0" top="0" bottom="0" header="0" footer="0"/>
  <pageSetup paperSize="9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A85E-54C2-4F0B-A355-8879C00A9CDF}">
  <sheetPr>
    <tabColor theme="8" tint="-0.249977111117893"/>
    <pageSetUpPr fitToPage="1"/>
  </sheetPr>
  <dimension ref="A1:N12"/>
  <sheetViews>
    <sheetView workbookViewId="0">
      <selection activeCell="D85" sqref="D85:M85"/>
    </sheetView>
  </sheetViews>
  <sheetFormatPr baseColWidth="10" defaultRowHeight="12.75" x14ac:dyDescent="0.2"/>
  <cols>
    <col min="1" max="1" width="4.140625" customWidth="1"/>
    <col min="2" max="2" width="18.42578125" customWidth="1"/>
    <col min="3" max="10" width="8.7109375" customWidth="1"/>
    <col min="11" max="11" width="13.42578125" customWidth="1"/>
    <col min="12" max="12" width="9.42578125" customWidth="1"/>
    <col min="14" max="14" width="6.42578125" customWidth="1"/>
  </cols>
  <sheetData>
    <row r="1" spans="1:14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</row>
    <row r="2" spans="1:14" ht="28.5" customHeight="1" x14ac:dyDescent="0.2">
      <c r="A2" s="379" t="str">
        <f>"Saison "&amp;Spielorte!C18&amp;"     -     Spieltag "&amp;Erfassung4!AD2&amp;"     -     "&amp;TEXT(Erfassung4!AD1,"T. MMMM JJJJ")</f>
        <v>Saison 2024/2025     -     Spieltag 4     -     02.03.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</row>
    <row r="3" spans="1:14" ht="28.5" customHeight="1" x14ac:dyDescent="0.2">
      <c r="A3" s="378" t="s">
        <v>1863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</row>
    <row r="4" spans="1:14" ht="28.5" customHeight="1" thickBot="1" x14ac:dyDescent="0.25">
      <c r="A4" s="210"/>
      <c r="B4" s="210"/>
      <c r="C4" s="87"/>
      <c r="D4" s="211"/>
      <c r="E4" s="211"/>
      <c r="F4" s="211"/>
      <c r="G4" s="211"/>
      <c r="H4" s="211"/>
      <c r="I4" s="211"/>
      <c r="J4" s="211"/>
      <c r="K4" s="211"/>
      <c r="L4" s="88"/>
      <c r="M4" s="162"/>
    </row>
    <row r="5" spans="1:14" x14ac:dyDescent="0.2">
      <c r="A5" s="380" t="s">
        <v>1803</v>
      </c>
      <c r="B5" s="383" t="s">
        <v>1804</v>
      </c>
      <c r="C5" s="385" t="s">
        <v>1807</v>
      </c>
      <c r="D5" s="386"/>
      <c r="E5" s="385" t="s">
        <v>1808</v>
      </c>
      <c r="F5" s="386"/>
      <c r="G5" s="385" t="s">
        <v>1809</v>
      </c>
      <c r="H5" s="386"/>
      <c r="I5" s="393" t="s">
        <v>1810</v>
      </c>
      <c r="J5" s="386"/>
      <c r="K5" s="385" t="s">
        <v>1791</v>
      </c>
      <c r="L5" s="386"/>
      <c r="M5" s="389" t="s">
        <v>1805</v>
      </c>
    </row>
    <row r="6" spans="1:14" ht="13.5" thickBot="1" x14ac:dyDescent="0.25">
      <c r="A6" s="381"/>
      <c r="B6" s="384"/>
      <c r="C6" s="74" t="s">
        <v>1799</v>
      </c>
      <c r="D6" s="75" t="s">
        <v>1800</v>
      </c>
      <c r="E6" s="74" t="s">
        <v>1799</v>
      </c>
      <c r="F6" s="75" t="s">
        <v>1800</v>
      </c>
      <c r="G6" s="74" t="s">
        <v>1799</v>
      </c>
      <c r="H6" s="75" t="s">
        <v>1800</v>
      </c>
      <c r="I6" s="74" t="s">
        <v>1799</v>
      </c>
      <c r="J6" s="75" t="s">
        <v>1800</v>
      </c>
      <c r="K6" s="74" t="s">
        <v>1799</v>
      </c>
      <c r="L6" s="75" t="s">
        <v>1800</v>
      </c>
      <c r="M6" s="390"/>
    </row>
    <row r="7" spans="1:14" ht="42" customHeight="1" thickBot="1" x14ac:dyDescent="0.25">
      <c r="A7" s="218">
        <v>1</v>
      </c>
      <c r="B7" s="121" t="str">
        <f>INDEX(Tabelle4!B:B,MATCH(A7,Tabelle4!AD:AD,0))</f>
        <v>Castra Regina Regensburg 2</v>
      </c>
      <c r="C7" s="164">
        <f>INDEX(Tabelle1!M:M,MATCH(B7,Tabelle1!B:B,0))</f>
        <v>3939</v>
      </c>
      <c r="D7" s="165">
        <f>INDEX(Tabelle1!N:N,MATCH(B7,Tabelle1!B:B,0))</f>
        <v>26</v>
      </c>
      <c r="E7" s="164">
        <f>INDEX(Tabelle2!M:M,MATCH(B7,Tabelle2!B:B,0))</f>
        <v>3461</v>
      </c>
      <c r="F7" s="165">
        <f>INDEX(Tabelle2!N:N,MATCH(B7,Tabelle2!B:B,0))</f>
        <v>12</v>
      </c>
      <c r="G7" s="164">
        <f>INDEX(Tabelle3!M:M,MATCH(B7,Tabelle3!B:B,0))</f>
        <v>3452</v>
      </c>
      <c r="H7" s="166">
        <f>INDEX(Tabelle3!N:N,MATCH(B7,Tabelle3!B:B,0))</f>
        <v>15</v>
      </c>
      <c r="I7" s="164">
        <f>INDEX(Tabelle4!M:M,MATCH(B7,Tabelle4!B:B,0))</f>
        <v>3770</v>
      </c>
      <c r="J7" s="166">
        <f>INDEX(Tabelle4!N:N,MATCH(B7,Tabelle4!B:B,0))</f>
        <v>18</v>
      </c>
      <c r="K7" s="219">
        <f t="shared" ref="K7:L12" si="0">SUM(C7+E7+G7+I7)</f>
        <v>14622</v>
      </c>
      <c r="L7" s="220">
        <f t="shared" si="0"/>
        <v>71</v>
      </c>
      <c r="M7" s="221">
        <f>K7/INDEX(Tabelle4!$AE:$AE,MATCH($B7,Tabelle4!$B:$B,0))</f>
        <v>182.77500000000001</v>
      </c>
      <c r="N7" s="81"/>
    </row>
    <row r="8" spans="1:14" ht="42" customHeight="1" thickBot="1" x14ac:dyDescent="0.25">
      <c r="A8" s="218">
        <v>2</v>
      </c>
      <c r="B8" s="121" t="str">
        <f>INDEX(Tabelle4!B:B,MATCH(A8,Tabelle4!AD:AD,0))</f>
        <v>Castra Regina Regensburg 3</v>
      </c>
      <c r="C8" s="164">
        <f>INDEX(Tabelle1!M:M,MATCH(B8,Tabelle1!B:B,0))</f>
        <v>3551</v>
      </c>
      <c r="D8" s="165">
        <f>INDEX(Tabelle1!N:N,MATCH(B8,Tabelle1!B:B,0))</f>
        <v>19</v>
      </c>
      <c r="E8" s="164">
        <f>INDEX(Tabelle2!M:M,MATCH(B8,Tabelle2!B:B,0))</f>
        <v>3650</v>
      </c>
      <c r="F8" s="165">
        <f>INDEX(Tabelle2!N:N,MATCH(B8,Tabelle2!B:B,0))</f>
        <v>19</v>
      </c>
      <c r="G8" s="164">
        <f>INDEX(Tabelle3!M:M,MATCH(B8,Tabelle3!B:B,0))</f>
        <v>3367</v>
      </c>
      <c r="H8" s="166">
        <f>INDEX(Tabelle3!N:N,MATCH(B8,Tabelle3!B:B,0))</f>
        <v>15</v>
      </c>
      <c r="I8" s="164">
        <f>INDEX(Tabelle4!M:M,MATCH(B8,Tabelle4!B:B,0))</f>
        <v>3550</v>
      </c>
      <c r="J8" s="166">
        <f>INDEX(Tabelle4!N:N,MATCH(B8,Tabelle4!B:B,0))</f>
        <v>17</v>
      </c>
      <c r="K8" s="219">
        <f t="shared" si="0"/>
        <v>14118</v>
      </c>
      <c r="L8" s="220">
        <f t="shared" si="0"/>
        <v>70</v>
      </c>
      <c r="M8" s="221">
        <f>K8/INDEX(Tabelle4!$AE:$AE,MATCH($B8,Tabelle4!$B:$B,0))</f>
        <v>176.47499999999999</v>
      </c>
      <c r="N8" s="81"/>
    </row>
    <row r="9" spans="1:14" ht="42" customHeight="1" thickBot="1" x14ac:dyDescent="0.25">
      <c r="A9" s="218">
        <v>3</v>
      </c>
      <c r="B9" s="121" t="str">
        <f>INDEX(Tabelle4!B:B,MATCH(A9,Tabelle4!AD:AD,0))</f>
        <v>Adler Nürnberg 1</v>
      </c>
      <c r="C9" s="164">
        <f>INDEX(Tabelle1!M:M,MATCH(B9,Tabelle1!B:B,0))</f>
        <v>3454</v>
      </c>
      <c r="D9" s="165">
        <f>INDEX(Tabelle1!N:N,MATCH(B9,Tabelle1!B:B,0))</f>
        <v>17.5</v>
      </c>
      <c r="E9" s="164">
        <f>INDEX(Tabelle2!M:M,MATCH(B9,Tabelle2!B:B,0))</f>
        <v>3342</v>
      </c>
      <c r="F9" s="165">
        <f>INDEX(Tabelle2!N:N,MATCH(B9,Tabelle2!B:B,0))</f>
        <v>15</v>
      </c>
      <c r="G9" s="164">
        <f>INDEX(Tabelle3!M:M,MATCH(B9,Tabelle3!B:B,0))</f>
        <v>3513</v>
      </c>
      <c r="H9" s="166">
        <f>INDEX(Tabelle3!N:N,MATCH(B9,Tabelle3!B:B,0))</f>
        <v>18</v>
      </c>
      <c r="I9" s="164">
        <f>INDEX(Tabelle4!M:M,MATCH(B9,Tabelle4!B:B,0))</f>
        <v>3492</v>
      </c>
      <c r="J9" s="166">
        <f>INDEX(Tabelle4!N:N,MATCH(B9,Tabelle4!B:B,0))</f>
        <v>12</v>
      </c>
      <c r="K9" s="219">
        <f t="shared" si="0"/>
        <v>13801</v>
      </c>
      <c r="L9" s="220">
        <f t="shared" si="0"/>
        <v>62.5</v>
      </c>
      <c r="M9" s="221">
        <f>K9/INDEX(Tabelle4!$AE:$AE,MATCH($B9,Tabelle4!$B:$B,0))</f>
        <v>172.51249999999999</v>
      </c>
      <c r="N9" s="81"/>
    </row>
    <row r="10" spans="1:14" ht="42" customHeight="1" thickBot="1" x14ac:dyDescent="0.25">
      <c r="A10" s="218">
        <v>4</v>
      </c>
      <c r="B10" s="121" t="str">
        <f>INDEX(Tabelle4!B:B,MATCH(A10,Tabelle4!AD:AD,0))</f>
        <v>Kings Club Bayreuth Land 3</v>
      </c>
      <c r="C10" s="164">
        <f>INDEX(Tabelle1!M:M,MATCH(B10,Tabelle1!B:B,0))</f>
        <v>3375</v>
      </c>
      <c r="D10" s="165">
        <f>INDEX(Tabelle1!N:N,MATCH(B10,Tabelle1!B:B,0))</f>
        <v>7.5</v>
      </c>
      <c r="E10" s="164">
        <f>INDEX(Tabelle2!M:M,MATCH(B10,Tabelle2!B:B,0))</f>
        <v>3442</v>
      </c>
      <c r="F10" s="165">
        <f>INDEX(Tabelle2!N:N,MATCH(B10,Tabelle2!B:B,0))</f>
        <v>19</v>
      </c>
      <c r="G10" s="164">
        <f>INDEX(Tabelle3!M:M,MATCH(B10,Tabelle3!B:B,0))</f>
        <v>3378</v>
      </c>
      <c r="H10" s="166">
        <f>INDEX(Tabelle3!N:N,MATCH(B10,Tabelle3!B:B,0))</f>
        <v>16</v>
      </c>
      <c r="I10" s="164">
        <f>INDEX(Tabelle4!M:M,MATCH(B10,Tabelle4!B:B,0))</f>
        <v>3584</v>
      </c>
      <c r="J10" s="166">
        <f>INDEX(Tabelle4!N:N,MATCH(B10,Tabelle4!B:B,0))</f>
        <v>19</v>
      </c>
      <c r="K10" s="219">
        <f t="shared" si="0"/>
        <v>13779</v>
      </c>
      <c r="L10" s="220">
        <f t="shared" si="0"/>
        <v>61.5</v>
      </c>
      <c r="M10" s="221">
        <f>K10/INDEX(Tabelle4!$AE:$AE,MATCH($B10,Tabelle4!$B:$B,0))</f>
        <v>172.23750000000001</v>
      </c>
      <c r="N10" s="81"/>
    </row>
    <row r="11" spans="1:14" ht="42" customHeight="1" thickBot="1" x14ac:dyDescent="0.25">
      <c r="A11" s="218">
        <v>5</v>
      </c>
      <c r="B11" s="121" t="str">
        <f>INDEX(Tabelle4!B:B,MATCH(A11,Tabelle4!AD:AD,0))</f>
        <v>Herzogenaurach 1</v>
      </c>
      <c r="C11" s="164">
        <f>INDEX(Tabelle1!M:M,MATCH(B11,Tabelle1!B:B,0))</f>
        <v>3545</v>
      </c>
      <c r="D11" s="165">
        <f>INDEX(Tabelle1!N:N,MATCH(B11,Tabelle1!B:B,0))</f>
        <v>12</v>
      </c>
      <c r="E11" s="164">
        <f>INDEX(Tabelle2!M:M,MATCH(B11,Tabelle2!B:B,0))</f>
        <v>3580</v>
      </c>
      <c r="F11" s="165">
        <f>INDEX(Tabelle2!N:N,MATCH(B11,Tabelle2!B:B,0))</f>
        <v>17</v>
      </c>
      <c r="G11" s="164">
        <f>INDEX(Tabelle3!M:M,MATCH(B11,Tabelle3!B:B,0))</f>
        <v>3471</v>
      </c>
      <c r="H11" s="166">
        <f>INDEX(Tabelle3!N:N,MATCH(B11,Tabelle3!B:B,0))</f>
        <v>13</v>
      </c>
      <c r="I11" s="164">
        <f>INDEX(Tabelle4!M:M,MATCH(B11,Tabelle4!B:B,0))</f>
        <v>3685</v>
      </c>
      <c r="J11" s="166">
        <f>INDEX(Tabelle4!N:N,MATCH(B11,Tabelle4!B:B,0))</f>
        <v>15</v>
      </c>
      <c r="K11" s="219">
        <f t="shared" si="0"/>
        <v>14281</v>
      </c>
      <c r="L11" s="220">
        <f t="shared" si="0"/>
        <v>57</v>
      </c>
      <c r="M11" s="221">
        <f>K11/INDEX(Tabelle4!$AE:$AE,MATCH($B11,Tabelle4!$B:$B,0))</f>
        <v>178.51249999999999</v>
      </c>
      <c r="N11" s="81"/>
    </row>
    <row r="12" spans="1:14" ht="42" customHeight="1" thickBot="1" x14ac:dyDescent="0.25">
      <c r="A12" s="218">
        <v>6</v>
      </c>
      <c r="B12" s="121" t="str">
        <f>INDEX(Tabelle4!B:B,MATCH(A12,Tabelle4!AD:AD,0))</f>
        <v>Kings Club Bayreuth Land 2</v>
      </c>
      <c r="C12" s="164">
        <f>INDEX(Tabelle1!M:M,MATCH(B12,Tabelle1!B:B,0))</f>
        <v>3248</v>
      </c>
      <c r="D12" s="165">
        <f>INDEX(Tabelle1!N:N,MATCH(B12,Tabelle1!B:B,0))</f>
        <v>8</v>
      </c>
      <c r="E12" s="164">
        <f>INDEX(Tabelle2!M:M,MATCH(B12,Tabelle2!B:B,0))</f>
        <v>3371</v>
      </c>
      <c r="F12" s="165">
        <f>INDEX(Tabelle2!N:N,MATCH(B12,Tabelle2!B:B,0))</f>
        <v>8</v>
      </c>
      <c r="G12" s="164">
        <f>INDEX(Tabelle3!M:M,MATCH(B12,Tabelle3!B:B,0))</f>
        <v>3137</v>
      </c>
      <c r="H12" s="166">
        <f>INDEX(Tabelle3!N:N,MATCH(B12,Tabelle3!B:B,0))</f>
        <v>13</v>
      </c>
      <c r="I12" s="164">
        <f>INDEX(Tabelle4!M:M,MATCH(B12,Tabelle4!B:B,0))</f>
        <v>3357</v>
      </c>
      <c r="J12" s="166">
        <f>INDEX(Tabelle4!N:N,MATCH(B12,Tabelle4!B:B,0))</f>
        <v>9</v>
      </c>
      <c r="K12" s="219">
        <f t="shared" si="0"/>
        <v>13113</v>
      </c>
      <c r="L12" s="220">
        <f t="shared" si="0"/>
        <v>38</v>
      </c>
      <c r="M12" s="221">
        <f>IFERROR(K12/INDEX(Tabelle4!$AE:$AE,MATCH($B12,Tabelle4!$B:$B,0)),0)</f>
        <v>163.91249999999999</v>
      </c>
      <c r="N12" s="81"/>
    </row>
  </sheetData>
  <sheetProtection password="D19C" sheet="1"/>
  <mergeCells count="11">
    <mergeCell ref="C5:D5"/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4EF01-9324-4ABD-B8F5-7F9689F5E704}">
  <sheetPr>
    <tabColor rgb="FF7030A0"/>
    <pageSetUpPr fitToPage="1"/>
  </sheetPr>
  <dimension ref="A1:P104"/>
  <sheetViews>
    <sheetView view="pageBreakPreview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4</v>
      </c>
      <c r="D2" s="114" t="s">
        <v>1821</v>
      </c>
      <c r="E2" s="115"/>
      <c r="F2" s="116"/>
      <c r="L2" s="108">
        <f>INDEX(Starter!A:A,ROW()-1)</f>
        <v>7136</v>
      </c>
      <c r="M2" s="108">
        <f>SUMIF(Erfassung4!BD:BD,L2,Erfassung4!BS:BS)</f>
        <v>932</v>
      </c>
      <c r="N2" s="108">
        <f>SUMIF(Erfassung4!BD:BD,L2,Erfassung4!BG:BG)</f>
        <v>5</v>
      </c>
      <c r="O2" s="108">
        <f t="shared" ref="O2:O65" si="0">IF(N2=0,0,M2/N2-ROW()/1000000000)</f>
        <v>186.399999998</v>
      </c>
      <c r="P2" s="108">
        <f t="shared" ref="P2:P65" si="1">RANK(O2,O:O)</f>
        <v>7</v>
      </c>
    </row>
    <row r="3" spans="1:16" x14ac:dyDescent="0.2">
      <c r="L3" s="108">
        <f>INDEX(Starter!A:A,ROW()-1)</f>
        <v>7123</v>
      </c>
      <c r="M3" s="108">
        <f>SUMIF(Erfassung4!BD:BD,L3,Erfassung4!BS:BS)</f>
        <v>735</v>
      </c>
      <c r="N3" s="108">
        <f>SUMIF(Erfassung4!BD:BD,L3,Erfassung4!BG:BG)</f>
        <v>5</v>
      </c>
      <c r="O3" s="108">
        <f t="shared" si="0"/>
        <v>146.999999997</v>
      </c>
      <c r="P3" s="108">
        <f t="shared" si="1"/>
        <v>26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SUMIF(Erfassung4!BD:BD,L4,Erfassung4!BS:BS)</f>
        <v>776</v>
      </c>
      <c r="N4" s="108">
        <f>SUMIF(Erfassung4!BD:BD,L4,Erfassung4!BG:BG)</f>
        <v>5</v>
      </c>
      <c r="O4" s="108">
        <f t="shared" si="0"/>
        <v>155.199999996</v>
      </c>
      <c r="P4" s="108">
        <f t="shared" si="1"/>
        <v>25</v>
      </c>
    </row>
    <row r="5" spans="1:16" x14ac:dyDescent="0.2">
      <c r="A5" s="108">
        <v>1</v>
      </c>
      <c r="B5" s="108">
        <f t="shared" ref="B5:B68" si="2">IFERROR(INDEX(L:L,MATCH(A5,P:P,0)),"")</f>
        <v>25760</v>
      </c>
      <c r="C5" s="108" t="str">
        <f>IFERROR(INDEX(Starter!B:B,MATCH(B5,Starter!A:A,0)),"")</f>
        <v>Inkermann, Matthias</v>
      </c>
      <c r="D5" s="108" t="str">
        <f>IFERROR(INDEX(Starter!C:C,MATCH(B5,Starter!A:A,0)),"")</f>
        <v>BC Herzogenaurach</v>
      </c>
      <c r="E5" s="117">
        <f t="shared" ref="E5:E68" si="3">IFERROR(INDEX(M:M,MATCH(A5,P:P,0)),"")</f>
        <v>1073</v>
      </c>
      <c r="F5" s="108">
        <f t="shared" ref="F5:F68" si="4">IFERROR(INDEX(N:N,MATCH(A5,P:P,0)),"")</f>
        <v>5</v>
      </c>
      <c r="G5" s="112">
        <f t="shared" ref="G5:G68" si="5">IFERROR(INDEX(O:O,MATCH(A5,P:P,0)),"")</f>
        <v>214.59999995699999</v>
      </c>
      <c r="L5" s="108">
        <f>INDEX(Starter!A:A,ROW()-1)</f>
        <v>7128</v>
      </c>
      <c r="M5" s="108">
        <f>SUMIF(Erfassung4!BD:BD,L5,Erfassung4!BS:BS)</f>
        <v>914</v>
      </c>
      <c r="N5" s="108">
        <f>SUMIF(Erfassung4!BD:BD,L5,Erfassung4!BG:BG)</f>
        <v>5</v>
      </c>
      <c r="O5" s="108">
        <f t="shared" si="0"/>
        <v>182.79999999500001</v>
      </c>
      <c r="P5" s="108">
        <f t="shared" si="1"/>
        <v>9</v>
      </c>
    </row>
    <row r="6" spans="1:16" x14ac:dyDescent="0.2">
      <c r="A6" s="108">
        <f t="shared" ref="A6:A69" si="6">IFERROR(IF(A5+1&gt;MAX(P:P)-1,"",A5+1),"")</f>
        <v>2</v>
      </c>
      <c r="B6" s="108">
        <f t="shared" si="2"/>
        <v>9936</v>
      </c>
      <c r="C6" s="108" t="str">
        <f>IFERROR(INDEX(Starter!B:B,MATCH(B6,Starter!A:A,0)),"")</f>
        <v>Fischer, Nick</v>
      </c>
      <c r="D6" s="108" t="str">
        <f>IFERROR(INDEX(Starter!C:C,MATCH(B6,Starter!A:A,0)),"")</f>
        <v>Kings Club Bayreuth</v>
      </c>
      <c r="E6" s="117">
        <f t="shared" si="3"/>
        <v>1033</v>
      </c>
      <c r="F6" s="108">
        <f t="shared" si="4"/>
        <v>5</v>
      </c>
      <c r="G6" s="112">
        <f t="shared" si="5"/>
        <v>206.599999991</v>
      </c>
      <c r="L6" s="108">
        <f>INDEX(Starter!A:A,ROW()-1)</f>
        <v>38507</v>
      </c>
      <c r="M6" s="108">
        <f>SUMIF(Erfassung4!BD:BD,L6,Erfassung4!BS:BS)</f>
        <v>0</v>
      </c>
      <c r="N6" s="108">
        <f>SUMIF(Erfassung4!BD:BD,L6,Erfassung4!BG:BG)</f>
        <v>0</v>
      </c>
      <c r="O6" s="108">
        <f t="shared" si="0"/>
        <v>0</v>
      </c>
      <c r="P6" s="108">
        <f t="shared" si="1"/>
        <v>27</v>
      </c>
    </row>
    <row r="7" spans="1:16" x14ac:dyDescent="0.2">
      <c r="A7" s="108">
        <f t="shared" si="6"/>
        <v>3</v>
      </c>
      <c r="B7" s="108">
        <f t="shared" si="2"/>
        <v>38571</v>
      </c>
      <c r="C7" s="108" t="str">
        <f>IFERROR(INDEX(Starter!B:B,MATCH(B7,Starter!A:A,0)),"")</f>
        <v>Simon, Steven</v>
      </c>
      <c r="D7" s="108" t="str">
        <f>IFERROR(INDEX(Starter!C:C,MATCH(B7,Starter!A:A,0)),"")</f>
        <v>BC Castra Regina Regensburg</v>
      </c>
      <c r="E7" s="117">
        <f t="shared" si="3"/>
        <v>1018</v>
      </c>
      <c r="F7" s="108">
        <f t="shared" si="4"/>
        <v>5</v>
      </c>
      <c r="G7" s="112">
        <f t="shared" si="5"/>
        <v>203.59999997699998</v>
      </c>
      <c r="L7" s="108">
        <f>INDEX(Starter!A:A,ROW()-1)</f>
        <v>38115</v>
      </c>
      <c r="M7" s="108">
        <f>SUMIF(Erfassung4!BD:BD,L7,Erfassung4!BS:BS)</f>
        <v>0</v>
      </c>
      <c r="N7" s="108">
        <f>SUMIF(Erfassung4!BD:BD,L7,Erfassung4!BG:BG)</f>
        <v>0</v>
      </c>
      <c r="O7" s="108">
        <f t="shared" si="0"/>
        <v>0</v>
      </c>
      <c r="P7" s="108">
        <f t="shared" si="1"/>
        <v>27</v>
      </c>
    </row>
    <row r="8" spans="1:16" x14ac:dyDescent="0.2">
      <c r="A8" s="108">
        <f t="shared" si="6"/>
        <v>4</v>
      </c>
      <c r="B8" s="108">
        <f t="shared" si="2"/>
        <v>38046</v>
      </c>
      <c r="C8" s="108" t="str">
        <f>IFERROR(INDEX(Starter!B:B,MATCH(B8,Starter!A:A,0)),"")</f>
        <v>Humbs, Martin</v>
      </c>
      <c r="D8" s="108" t="str">
        <f>IFERROR(INDEX(Starter!C:C,MATCH(B8,Starter!A:A,0)),"")</f>
        <v>BC Castra Regina Regensburg</v>
      </c>
      <c r="E8" s="117">
        <f t="shared" si="3"/>
        <v>1012</v>
      </c>
      <c r="F8" s="108">
        <f t="shared" si="4"/>
        <v>5</v>
      </c>
      <c r="G8" s="112">
        <f t="shared" si="5"/>
        <v>202.39999997800001</v>
      </c>
      <c r="L8" s="108">
        <f>INDEX(Starter!A:A,ROW()-1)</f>
        <v>7586</v>
      </c>
      <c r="M8" s="108">
        <f>SUMIF(Erfassung4!BD:BD,L8,Erfassung4!BS:BS)</f>
        <v>937</v>
      </c>
      <c r="N8" s="108">
        <f>SUMIF(Erfassung4!BD:BD,L8,Erfassung4!BG:BG)</f>
        <v>5</v>
      </c>
      <c r="O8" s="108">
        <f t="shared" si="0"/>
        <v>187.39999999200001</v>
      </c>
      <c r="P8" s="108">
        <f t="shared" si="1"/>
        <v>6</v>
      </c>
    </row>
    <row r="9" spans="1:16" x14ac:dyDescent="0.2">
      <c r="A9" s="108">
        <f t="shared" si="6"/>
        <v>5</v>
      </c>
      <c r="B9" s="108">
        <f t="shared" si="2"/>
        <v>38869</v>
      </c>
      <c r="C9" s="108" t="str">
        <f>IFERROR(INDEX(Starter!B:B,MATCH(B9,Starter!A:A,0)),"")</f>
        <v>Simon, Diana</v>
      </c>
      <c r="D9" s="108" t="str">
        <f>IFERROR(INDEX(Starter!C:C,MATCH(B9,Starter!A:A,0)),"")</f>
        <v>BC Castra Regina Regensburg</v>
      </c>
      <c r="E9" s="117">
        <f t="shared" si="3"/>
        <v>200</v>
      </c>
      <c r="F9" s="108">
        <f t="shared" si="4"/>
        <v>1</v>
      </c>
      <c r="G9" s="112">
        <f t="shared" si="5"/>
        <v>199.999999968</v>
      </c>
      <c r="L9" s="108">
        <f>INDEX(Starter!A:A,ROW()-1)</f>
        <v>9936</v>
      </c>
      <c r="M9" s="108">
        <f>SUMIF(Erfassung4!BD:BD,L9,Erfassung4!BS:BS)</f>
        <v>1033</v>
      </c>
      <c r="N9" s="108">
        <f>SUMIF(Erfassung4!BD:BD,L9,Erfassung4!BG:BG)</f>
        <v>5</v>
      </c>
      <c r="O9" s="108">
        <f t="shared" si="0"/>
        <v>206.599999991</v>
      </c>
      <c r="P9" s="108">
        <f t="shared" si="1"/>
        <v>2</v>
      </c>
    </row>
    <row r="10" spans="1:16" x14ac:dyDescent="0.2">
      <c r="A10" s="108">
        <f t="shared" si="6"/>
        <v>6</v>
      </c>
      <c r="B10" s="108">
        <f t="shared" si="2"/>
        <v>7586</v>
      </c>
      <c r="C10" s="108" t="str">
        <f>IFERROR(INDEX(Starter!B:B,MATCH(B10,Starter!A:A,0)),"")</f>
        <v>Eichner, Karl</v>
      </c>
      <c r="D10" s="108" t="str">
        <f>IFERROR(INDEX(Starter!C:C,MATCH(B10,Starter!A:A,0)),"")</f>
        <v>Kings Club Bayreuth</v>
      </c>
      <c r="E10" s="117">
        <f t="shared" si="3"/>
        <v>937</v>
      </c>
      <c r="F10" s="108">
        <f t="shared" si="4"/>
        <v>5</v>
      </c>
      <c r="G10" s="112">
        <f t="shared" si="5"/>
        <v>187.39999999200001</v>
      </c>
      <c r="L10" s="108">
        <f>INDEX(Starter!A:A,ROW()-1)</f>
        <v>7135</v>
      </c>
      <c r="M10" s="108">
        <f>SUMIF(Erfassung4!BD:BD,L10,Erfassung4!BS:BS)</f>
        <v>0</v>
      </c>
      <c r="N10" s="108">
        <f>SUMIF(Erfassung4!BD:BD,L10,Erfassung4!BG:BG)</f>
        <v>0</v>
      </c>
      <c r="O10" s="108">
        <f t="shared" si="0"/>
        <v>0</v>
      </c>
      <c r="P10" s="108">
        <f t="shared" si="1"/>
        <v>27</v>
      </c>
    </row>
    <row r="11" spans="1:16" x14ac:dyDescent="0.2">
      <c r="A11" s="108">
        <f t="shared" si="6"/>
        <v>7</v>
      </c>
      <c r="B11" s="108">
        <f t="shared" si="2"/>
        <v>7136</v>
      </c>
      <c r="C11" s="108" t="str">
        <f>IFERROR(INDEX(Starter!B:B,MATCH(B11,Starter!A:A,0)),"")</f>
        <v>Rühr, Wilfried</v>
      </c>
      <c r="D11" s="108" t="str">
        <f>IFERROR(INDEX(Starter!C:C,MATCH(B11,Starter!A:A,0)),"")</f>
        <v>Kings Club Bayreuth</v>
      </c>
      <c r="E11" s="117">
        <f t="shared" si="3"/>
        <v>932</v>
      </c>
      <c r="F11" s="108">
        <f t="shared" si="4"/>
        <v>5</v>
      </c>
      <c r="G11" s="112">
        <f t="shared" si="5"/>
        <v>186.399999998</v>
      </c>
      <c r="L11" s="108">
        <f>INDEX(Starter!A:A,ROW()-1)</f>
        <v>38367</v>
      </c>
      <c r="M11" s="108">
        <f>SUMIF(Erfassung4!BD:BD,L11,Erfassung4!BS:BS)</f>
        <v>0</v>
      </c>
      <c r="N11" s="108">
        <f>SUMIF(Erfassung4!BD:BD,L11,Erfassung4!BG:BG)</f>
        <v>0</v>
      </c>
      <c r="O11" s="108">
        <f t="shared" si="0"/>
        <v>0</v>
      </c>
      <c r="P11" s="108">
        <f t="shared" si="1"/>
        <v>27</v>
      </c>
    </row>
    <row r="12" spans="1:16" x14ac:dyDescent="0.2">
      <c r="A12" s="108">
        <f t="shared" si="6"/>
        <v>8</v>
      </c>
      <c r="B12" s="108">
        <f t="shared" si="2"/>
        <v>7813</v>
      </c>
      <c r="C12" s="108" t="str">
        <f>IFERROR(INDEX(Starter!B:B,MATCH(B12,Starter!A:A,0)),"")</f>
        <v>Walzer, Peter</v>
      </c>
      <c r="D12" s="108" t="str">
        <f>IFERROR(INDEX(Starter!C:C,MATCH(B12,Starter!A:A,0)),"")</f>
        <v>BC Castra Regina Regensburg</v>
      </c>
      <c r="E12" s="117">
        <f t="shared" si="3"/>
        <v>733</v>
      </c>
      <c r="F12" s="108">
        <f t="shared" si="4"/>
        <v>4</v>
      </c>
      <c r="G12" s="112">
        <f t="shared" si="5"/>
        <v>183.249999973</v>
      </c>
      <c r="L12" s="108">
        <f>INDEX(Starter!A:A,ROW()-1)</f>
        <v>38152</v>
      </c>
      <c r="M12" s="108">
        <f>SUMIF(Erfassung4!BD:BD,L12,Erfassung4!BS:BS)</f>
        <v>0</v>
      </c>
      <c r="N12" s="108">
        <f>SUMIF(Erfassung4!BD:BD,L12,Erfassung4!BG:BG)</f>
        <v>0</v>
      </c>
      <c r="O12" s="108">
        <f t="shared" si="0"/>
        <v>0</v>
      </c>
      <c r="P12" s="108">
        <f t="shared" si="1"/>
        <v>27</v>
      </c>
    </row>
    <row r="13" spans="1:16" x14ac:dyDescent="0.2">
      <c r="A13" s="108">
        <f t="shared" si="6"/>
        <v>9</v>
      </c>
      <c r="B13" s="108">
        <f t="shared" si="2"/>
        <v>7128</v>
      </c>
      <c r="C13" s="108" t="str">
        <f>IFERROR(INDEX(Starter!B:B,MATCH(B13,Starter!A:A,0)),"")</f>
        <v>Wallner, Harald</v>
      </c>
      <c r="D13" s="108" t="str">
        <f>IFERROR(INDEX(Starter!C:C,MATCH(B13,Starter!A:A,0)),"")</f>
        <v>Kings Club Bayreuth</v>
      </c>
      <c r="E13" s="117">
        <f t="shared" si="3"/>
        <v>914</v>
      </c>
      <c r="F13" s="108">
        <f t="shared" si="4"/>
        <v>5</v>
      </c>
      <c r="G13" s="112">
        <f t="shared" si="5"/>
        <v>182.79999999500001</v>
      </c>
      <c r="L13" s="108">
        <f>INDEX(Starter!A:A,ROW()-1)</f>
        <v>25007</v>
      </c>
      <c r="M13" s="108">
        <f>SUMIF(Erfassung4!BD:BD,L13,Erfassung4!BS:BS)</f>
        <v>0</v>
      </c>
      <c r="N13" s="108">
        <f>SUMIF(Erfassung4!BD:BD,L13,Erfassung4!BG:BG)</f>
        <v>0</v>
      </c>
      <c r="O13" s="108">
        <f t="shared" si="0"/>
        <v>0</v>
      </c>
      <c r="P13" s="108">
        <f t="shared" si="1"/>
        <v>27</v>
      </c>
    </row>
    <row r="14" spans="1:16" x14ac:dyDescent="0.2">
      <c r="A14" s="108">
        <f t="shared" si="6"/>
        <v>10</v>
      </c>
      <c r="B14" s="108">
        <f t="shared" si="2"/>
        <v>25723</v>
      </c>
      <c r="C14" s="108" t="str">
        <f>IFERROR(INDEX(Starter!B:B,MATCH(B14,Starter!A:A,0)),"")</f>
        <v>Bothe, Thomas</v>
      </c>
      <c r="D14" s="108" t="str">
        <f>IFERROR(INDEX(Starter!C:C,MATCH(B14,Starter!A:A,0)),"")</f>
        <v>BC Castra Regina Regensburg</v>
      </c>
      <c r="E14" s="117">
        <f t="shared" si="3"/>
        <v>906</v>
      </c>
      <c r="F14" s="108">
        <f t="shared" si="4"/>
        <v>5</v>
      </c>
      <c r="G14" s="112">
        <f t="shared" si="5"/>
        <v>181.199999964</v>
      </c>
      <c r="L14" s="108">
        <f>INDEX(Starter!A:A,ROW()-1)</f>
        <v>38661</v>
      </c>
      <c r="M14" s="108">
        <f>SUMIF(Erfassung4!BD:BD,L14,Erfassung4!BS:BS)</f>
        <v>0</v>
      </c>
      <c r="N14" s="108">
        <f>SUMIF(Erfassung4!BD:BD,L14,Erfassung4!BG:BG)</f>
        <v>0</v>
      </c>
      <c r="O14" s="108">
        <f t="shared" si="0"/>
        <v>0</v>
      </c>
      <c r="P14" s="108">
        <f t="shared" si="1"/>
        <v>27</v>
      </c>
    </row>
    <row r="15" spans="1:16" x14ac:dyDescent="0.2">
      <c r="A15" s="108">
        <f t="shared" si="6"/>
        <v>11</v>
      </c>
      <c r="B15" s="108">
        <f t="shared" si="2"/>
        <v>16707</v>
      </c>
      <c r="C15" s="108" t="str">
        <f>IFERROR(INDEX(Starter!B:B,MATCH(B15,Starter!A:A,0)),"")</f>
        <v>Beier, Thomas</v>
      </c>
      <c r="D15" s="108" t="str">
        <f>IFERROR(INDEX(Starter!C:C,MATCH(B15,Starter!A:A,0)),"")</f>
        <v>BC Adler Nürnberg</v>
      </c>
      <c r="E15" s="117">
        <f t="shared" si="3"/>
        <v>905</v>
      </c>
      <c r="F15" s="108">
        <f t="shared" si="4"/>
        <v>5</v>
      </c>
      <c r="G15" s="112">
        <f t="shared" si="5"/>
        <v>180.99999995799999</v>
      </c>
      <c r="L15" s="108">
        <f>INDEX(Starter!A:A,ROW()-1)</f>
        <v>34393</v>
      </c>
      <c r="M15" s="108">
        <f>SUMIF(Erfassung4!BD:BD,L15,Erfassung4!BS:BS)</f>
        <v>0</v>
      </c>
      <c r="N15" s="108">
        <f>SUMIF(Erfassung4!BD:BD,L15,Erfassung4!BG:BG)</f>
        <v>0</v>
      </c>
      <c r="O15" s="108">
        <f t="shared" si="0"/>
        <v>0</v>
      </c>
      <c r="P15" s="108">
        <f t="shared" si="1"/>
        <v>27</v>
      </c>
    </row>
    <row r="16" spans="1:16" x14ac:dyDescent="0.2">
      <c r="A16" s="108">
        <f t="shared" si="6"/>
        <v>12</v>
      </c>
      <c r="B16" s="108">
        <f t="shared" si="2"/>
        <v>25130</v>
      </c>
      <c r="C16" s="108" t="str">
        <f>IFERROR(INDEX(Starter!B:B,MATCH(B16,Starter!A:A,0)),"")</f>
        <v>Aumeier, Bernhard</v>
      </c>
      <c r="D16" s="108" t="str">
        <f>IFERROR(INDEX(Starter!C:C,MATCH(B16,Starter!A:A,0)),"")</f>
        <v>BC Castra Regina Regensburg</v>
      </c>
      <c r="E16" s="117">
        <f t="shared" si="3"/>
        <v>900</v>
      </c>
      <c r="F16" s="108">
        <f t="shared" si="4"/>
        <v>5</v>
      </c>
      <c r="G16" s="112">
        <f t="shared" si="5"/>
        <v>179.99999997099999</v>
      </c>
      <c r="L16" s="108">
        <f>INDEX(Starter!A:A,ROW()-1)</f>
        <v>38823</v>
      </c>
      <c r="M16" s="108">
        <f>SUMIF(Erfassung4!BD:BD,L16,Erfassung4!BS:BS)</f>
        <v>803</v>
      </c>
      <c r="N16" s="108">
        <f>SUMIF(Erfassung4!BD:BD,L16,Erfassung4!BG:BG)</f>
        <v>5</v>
      </c>
      <c r="O16" s="108">
        <f t="shared" si="0"/>
        <v>160.59999998399999</v>
      </c>
      <c r="P16" s="108">
        <f t="shared" si="1"/>
        <v>24</v>
      </c>
    </row>
    <row r="17" spans="1:16" x14ac:dyDescent="0.2">
      <c r="A17" s="108">
        <f t="shared" si="6"/>
        <v>13</v>
      </c>
      <c r="B17" s="108">
        <f t="shared" si="2"/>
        <v>38570</v>
      </c>
      <c r="C17" s="108" t="str">
        <f>IFERROR(INDEX(Starter!B:B,MATCH(B17,Starter!A:A,0)),"")</f>
        <v>Bothe, Willi</v>
      </c>
      <c r="D17" s="108" t="str">
        <f>IFERROR(INDEX(Starter!C:C,MATCH(B17,Starter!A:A,0)),"")</f>
        <v>BC Castra Regina Regensburg</v>
      </c>
      <c r="E17" s="117">
        <f t="shared" si="3"/>
        <v>897</v>
      </c>
      <c r="F17" s="108">
        <f t="shared" si="4"/>
        <v>5</v>
      </c>
      <c r="G17" s="112">
        <f t="shared" si="5"/>
        <v>179.39999996500001</v>
      </c>
      <c r="L17" s="108">
        <f>INDEX(Starter!A:A,ROW()-1)</f>
        <v>38509</v>
      </c>
      <c r="M17" s="108">
        <f>SUMIF(Erfassung4!BD:BD,L17,Erfassung4!BS:BS)</f>
        <v>811</v>
      </c>
      <c r="N17" s="108">
        <f>SUMIF(Erfassung4!BD:BD,L17,Erfassung4!BG:BG)</f>
        <v>5</v>
      </c>
      <c r="O17" s="108">
        <f t="shared" si="0"/>
        <v>162.199999983</v>
      </c>
      <c r="P17" s="108">
        <f t="shared" si="1"/>
        <v>23</v>
      </c>
    </row>
    <row r="18" spans="1:16" x14ac:dyDescent="0.2">
      <c r="A18" s="108">
        <f t="shared" si="6"/>
        <v>14</v>
      </c>
      <c r="B18" s="108">
        <f t="shared" si="2"/>
        <v>7286</v>
      </c>
      <c r="C18" s="108" t="str">
        <f>IFERROR(INDEX(Starter!B:B,MATCH(B18,Starter!A:A,0)),"")</f>
        <v>Meier, Peter</v>
      </c>
      <c r="D18" s="108" t="str">
        <f>IFERROR(INDEX(Starter!C:C,MATCH(B18,Starter!A:A,0)),"")</f>
        <v>BC Herzogenaurach</v>
      </c>
      <c r="E18" s="117">
        <f t="shared" si="3"/>
        <v>890</v>
      </c>
      <c r="F18" s="108">
        <f t="shared" si="4"/>
        <v>5</v>
      </c>
      <c r="G18" s="112">
        <f t="shared" si="5"/>
        <v>177.99999998000001</v>
      </c>
      <c r="L18" s="108">
        <f>INDEX(Starter!A:A,ROW()-1)</f>
        <v>7282</v>
      </c>
      <c r="M18" s="108">
        <f>SUMIF(Erfassung4!BD:BD,L18,Erfassung4!BS:BS)</f>
        <v>335</v>
      </c>
      <c r="N18" s="108">
        <f>SUMIF(Erfassung4!BD:BD,L18,Erfassung4!BG:BG)</f>
        <v>2</v>
      </c>
      <c r="O18" s="108">
        <f t="shared" si="0"/>
        <v>167.49999998199999</v>
      </c>
      <c r="P18" s="108">
        <f t="shared" si="1"/>
        <v>19</v>
      </c>
    </row>
    <row r="19" spans="1:16" x14ac:dyDescent="0.2">
      <c r="A19" s="108">
        <f t="shared" si="6"/>
        <v>15</v>
      </c>
      <c r="B19" s="108">
        <f t="shared" si="2"/>
        <v>7714</v>
      </c>
      <c r="C19" s="108" t="str">
        <f>IFERROR(INDEX(Starter!B:B,MATCH(B19,Starter!A:A,0)),"")</f>
        <v>Doßler, Thomas</v>
      </c>
      <c r="D19" s="108" t="str">
        <f>IFERROR(INDEX(Starter!C:C,MATCH(B19,Starter!A:A,0)),"")</f>
        <v>BC Adler Nürnberg</v>
      </c>
      <c r="E19" s="117">
        <f t="shared" si="3"/>
        <v>881</v>
      </c>
      <c r="F19" s="108">
        <f t="shared" si="4"/>
        <v>5</v>
      </c>
      <c r="G19" s="112">
        <f t="shared" si="5"/>
        <v>176.19999996099997</v>
      </c>
      <c r="L19" s="108">
        <f>INDEX(Starter!A:A,ROW()-1)</f>
        <v>25378</v>
      </c>
      <c r="M19" s="108">
        <f>SUMIF(Erfassung4!BD:BD,L19,Erfassung4!BS:BS)</f>
        <v>507</v>
      </c>
      <c r="N19" s="108">
        <f>SUMIF(Erfassung4!BD:BD,L19,Erfassung4!BG:BG)</f>
        <v>3</v>
      </c>
      <c r="O19" s="108">
        <f t="shared" si="0"/>
        <v>168.999999981</v>
      </c>
      <c r="P19" s="108">
        <f t="shared" si="1"/>
        <v>18</v>
      </c>
    </row>
    <row r="20" spans="1:16" x14ac:dyDescent="0.2">
      <c r="A20" s="108">
        <f t="shared" si="6"/>
        <v>16</v>
      </c>
      <c r="B20" s="108">
        <f t="shared" si="2"/>
        <v>7283</v>
      </c>
      <c r="C20" s="108" t="str">
        <f>IFERROR(INDEX(Starter!B:B,MATCH(B20,Starter!A:A,0)),"")</f>
        <v>Pichl, Jürgen</v>
      </c>
      <c r="D20" s="108" t="str">
        <f>IFERROR(INDEX(Starter!C:C,MATCH(B20,Starter!A:A,0)),"")</f>
        <v>BC Herzogenaurach</v>
      </c>
      <c r="E20" s="117">
        <f t="shared" si="3"/>
        <v>880</v>
      </c>
      <c r="F20" s="108">
        <f t="shared" si="4"/>
        <v>5</v>
      </c>
      <c r="G20" s="112">
        <f t="shared" si="5"/>
        <v>175.99999997899999</v>
      </c>
      <c r="L20" s="108">
        <f>INDEX(Starter!A:A,ROW()-1)</f>
        <v>7286</v>
      </c>
      <c r="M20" s="108">
        <f>SUMIF(Erfassung4!BD:BD,L20,Erfassung4!BS:BS)</f>
        <v>890</v>
      </c>
      <c r="N20" s="108">
        <f>SUMIF(Erfassung4!BD:BD,L20,Erfassung4!BG:BG)</f>
        <v>5</v>
      </c>
      <c r="O20" s="108">
        <f t="shared" si="0"/>
        <v>177.99999998000001</v>
      </c>
      <c r="P20" s="108">
        <f t="shared" si="1"/>
        <v>14</v>
      </c>
    </row>
    <row r="21" spans="1:16" x14ac:dyDescent="0.2">
      <c r="A21" s="108">
        <f t="shared" si="6"/>
        <v>17</v>
      </c>
      <c r="B21" s="108">
        <f t="shared" si="2"/>
        <v>25811</v>
      </c>
      <c r="C21" s="108" t="str">
        <f>IFERROR(INDEX(Starter!B:B,MATCH(B21,Starter!A:A,0)),"")</f>
        <v>Schmelzl, Werner</v>
      </c>
      <c r="D21" s="108" t="str">
        <f>IFERROR(INDEX(Starter!C:C,MATCH(B21,Starter!A:A,0)),"")</f>
        <v>BC Adler Nürnberg</v>
      </c>
      <c r="E21" s="117">
        <f t="shared" si="3"/>
        <v>869</v>
      </c>
      <c r="F21" s="108">
        <f t="shared" si="4"/>
        <v>5</v>
      </c>
      <c r="G21" s="112">
        <f t="shared" si="5"/>
        <v>173.79999996000001</v>
      </c>
      <c r="L21" s="108">
        <f>INDEX(Starter!A:A,ROW()-1)</f>
        <v>7283</v>
      </c>
      <c r="M21" s="108">
        <f>SUMIF(Erfassung4!BD:BD,L21,Erfassung4!BS:BS)</f>
        <v>880</v>
      </c>
      <c r="N21" s="108">
        <f>SUMIF(Erfassung4!BD:BD,L21,Erfassung4!BG:BG)</f>
        <v>5</v>
      </c>
      <c r="O21" s="108">
        <f t="shared" si="0"/>
        <v>175.99999997899999</v>
      </c>
      <c r="P21" s="108">
        <f t="shared" si="1"/>
        <v>16</v>
      </c>
    </row>
    <row r="22" spans="1:16" x14ac:dyDescent="0.2">
      <c r="A22" s="108">
        <f t="shared" si="6"/>
        <v>18</v>
      </c>
      <c r="B22" s="108">
        <f t="shared" si="2"/>
        <v>25378</v>
      </c>
      <c r="C22" s="108" t="str">
        <f>IFERROR(INDEX(Starter!B:B,MATCH(B22,Starter!A:A,0)),"")</f>
        <v>Arnold, Nadine</v>
      </c>
      <c r="D22" s="108" t="str">
        <f>IFERROR(INDEX(Starter!C:C,MATCH(B22,Starter!A:A,0)),"")</f>
        <v>BC Herzogenaurach</v>
      </c>
      <c r="E22" s="117">
        <f t="shared" si="3"/>
        <v>507</v>
      </c>
      <c r="F22" s="108">
        <f t="shared" si="4"/>
        <v>3</v>
      </c>
      <c r="G22" s="112">
        <f t="shared" si="5"/>
        <v>168.999999981</v>
      </c>
      <c r="L22" s="108">
        <f>INDEX(Starter!A:A,ROW()-1)</f>
        <v>38046</v>
      </c>
      <c r="M22" s="108">
        <f>SUMIF(Erfassung4!BD:BD,L22,Erfassung4!BS:BS)</f>
        <v>1012</v>
      </c>
      <c r="N22" s="108">
        <f>SUMIF(Erfassung4!BD:BD,L22,Erfassung4!BG:BG)</f>
        <v>5</v>
      </c>
      <c r="O22" s="108">
        <f t="shared" si="0"/>
        <v>202.39999997800001</v>
      </c>
      <c r="P22" s="108">
        <f t="shared" si="1"/>
        <v>4</v>
      </c>
    </row>
    <row r="23" spans="1:16" x14ac:dyDescent="0.2">
      <c r="A23" s="108">
        <f t="shared" si="6"/>
        <v>19</v>
      </c>
      <c r="B23" s="108">
        <f t="shared" si="2"/>
        <v>7282</v>
      </c>
      <c r="C23" s="108" t="str">
        <f>IFERROR(INDEX(Starter!B:B,MATCH(B23,Starter!A:A,0)),"")</f>
        <v>Voss, Horst</v>
      </c>
      <c r="D23" s="108" t="str">
        <f>IFERROR(INDEX(Starter!C:C,MATCH(B23,Starter!A:A,0)),"")</f>
        <v>BC Herzogenaurach</v>
      </c>
      <c r="E23" s="117">
        <f t="shared" si="3"/>
        <v>335</v>
      </c>
      <c r="F23" s="108">
        <f t="shared" si="4"/>
        <v>2</v>
      </c>
      <c r="G23" s="112">
        <f t="shared" si="5"/>
        <v>167.49999998199999</v>
      </c>
      <c r="L23" s="108">
        <f>INDEX(Starter!A:A,ROW()-1)</f>
        <v>38571</v>
      </c>
      <c r="M23" s="108">
        <f>SUMIF(Erfassung4!BD:BD,L23,Erfassung4!BS:BS)</f>
        <v>1018</v>
      </c>
      <c r="N23" s="108">
        <f>SUMIF(Erfassung4!BD:BD,L23,Erfassung4!BG:BG)</f>
        <v>5</v>
      </c>
      <c r="O23" s="108">
        <f t="shared" si="0"/>
        <v>203.59999997699998</v>
      </c>
      <c r="P23" s="108">
        <f t="shared" si="1"/>
        <v>3</v>
      </c>
    </row>
    <row r="24" spans="1:16" x14ac:dyDescent="0.2">
      <c r="A24" s="108">
        <f t="shared" si="6"/>
        <v>20</v>
      </c>
      <c r="B24" s="108">
        <f t="shared" si="2"/>
        <v>7761</v>
      </c>
      <c r="C24" s="108" t="str">
        <f>IFERROR(INDEX(Starter!B:B,MATCH(B24,Starter!A:A,0)),"")</f>
        <v>Schmitt, Peter</v>
      </c>
      <c r="D24" s="108" t="str">
        <f>IFERROR(INDEX(Starter!C:C,MATCH(B24,Starter!A:A,0)),"")</f>
        <v>BC Adler Nürnberg</v>
      </c>
      <c r="E24" s="117">
        <f t="shared" si="3"/>
        <v>837</v>
      </c>
      <c r="F24" s="108">
        <f t="shared" si="4"/>
        <v>5</v>
      </c>
      <c r="G24" s="112">
        <f t="shared" si="5"/>
        <v>167.39999996200001</v>
      </c>
      <c r="L24" s="108">
        <f>INDEX(Starter!A:A,ROW()-1)</f>
        <v>38870</v>
      </c>
      <c r="M24" s="108">
        <f>SUMIF(Erfassung4!BD:BD,L24,Erfassung4!BS:BS)</f>
        <v>834</v>
      </c>
      <c r="N24" s="108">
        <f>SUMIF(Erfassung4!BD:BD,L24,Erfassung4!BG:BG)</f>
        <v>5</v>
      </c>
      <c r="O24" s="108">
        <f t="shared" si="0"/>
        <v>166.79999997600001</v>
      </c>
      <c r="P24" s="108">
        <f t="shared" si="1"/>
        <v>21</v>
      </c>
    </row>
    <row r="25" spans="1:16" x14ac:dyDescent="0.2">
      <c r="A25" s="108">
        <f t="shared" si="6"/>
        <v>21</v>
      </c>
      <c r="B25" s="108">
        <f t="shared" si="2"/>
        <v>38870</v>
      </c>
      <c r="C25" s="108" t="str">
        <f>IFERROR(INDEX(Starter!B:B,MATCH(B25,Starter!A:A,0)),"")</f>
        <v>Martin, Dennis</v>
      </c>
      <c r="D25" s="108" t="str">
        <f>IFERROR(INDEX(Starter!C:C,MATCH(B25,Starter!A:A,0)),"")</f>
        <v>BC Castra Regina Regensburg</v>
      </c>
      <c r="E25" s="117">
        <f t="shared" si="3"/>
        <v>834</v>
      </c>
      <c r="F25" s="108">
        <f t="shared" si="4"/>
        <v>5</v>
      </c>
      <c r="G25" s="112">
        <f t="shared" si="5"/>
        <v>166.79999997600001</v>
      </c>
      <c r="L25" s="108">
        <f>INDEX(Starter!A:A,ROW()-1)</f>
        <v>7809</v>
      </c>
      <c r="M25" s="108">
        <f>SUMIF(Erfassung4!BD:BD,L25,Erfassung4!BS:BS)</f>
        <v>0</v>
      </c>
      <c r="N25" s="108">
        <f>SUMIF(Erfassung4!BD:BD,L25,Erfassung4!BG:BG)</f>
        <v>0</v>
      </c>
      <c r="O25" s="108">
        <f t="shared" si="0"/>
        <v>0</v>
      </c>
      <c r="P25" s="108">
        <f t="shared" si="1"/>
        <v>27</v>
      </c>
    </row>
    <row r="26" spans="1:16" x14ac:dyDescent="0.2">
      <c r="A26" s="108">
        <f t="shared" si="6"/>
        <v>22</v>
      </c>
      <c r="B26" s="108">
        <f t="shared" si="2"/>
        <v>7849</v>
      </c>
      <c r="C26" s="108" t="str">
        <f>IFERROR(INDEX(Starter!B:B,MATCH(B26,Starter!A:A,0)),"")</f>
        <v>Stibel, Blasius</v>
      </c>
      <c r="D26" s="108" t="str">
        <f>IFERROR(INDEX(Starter!C:C,MATCH(B26,Starter!A:A,0)),"")</f>
        <v>BC Castra Regina Regensburg</v>
      </c>
      <c r="E26" s="117">
        <f t="shared" si="3"/>
        <v>820</v>
      </c>
      <c r="F26" s="108">
        <f t="shared" si="4"/>
        <v>5</v>
      </c>
      <c r="G26" s="112">
        <f t="shared" si="5"/>
        <v>163.99999996899999</v>
      </c>
      <c r="L26" s="108">
        <f>INDEX(Starter!A:A,ROW()-1)</f>
        <v>7814</v>
      </c>
      <c r="M26" s="108">
        <f>SUMIF(Erfassung4!BD:BD,L26,Erfassung4!BS:BS)</f>
        <v>0</v>
      </c>
      <c r="N26" s="108">
        <f>SUMIF(Erfassung4!BD:BD,L26,Erfassung4!BG:BG)</f>
        <v>0</v>
      </c>
      <c r="O26" s="108">
        <f t="shared" si="0"/>
        <v>0</v>
      </c>
      <c r="P26" s="108">
        <f t="shared" si="1"/>
        <v>27</v>
      </c>
    </row>
    <row r="27" spans="1:16" x14ac:dyDescent="0.2">
      <c r="A27" s="108">
        <f t="shared" si="6"/>
        <v>23</v>
      </c>
      <c r="B27" s="108">
        <f t="shared" si="2"/>
        <v>38509</v>
      </c>
      <c r="C27" s="108" t="str">
        <f>IFERROR(INDEX(Starter!B:B,MATCH(B27,Starter!A:A,0)),"")</f>
        <v>Zahiri, Ali</v>
      </c>
      <c r="D27" s="108" t="str">
        <f>IFERROR(INDEX(Starter!C:C,MATCH(B27,Starter!A:A,0)),"")</f>
        <v>Kings Club Bayreuth</v>
      </c>
      <c r="E27" s="117">
        <f t="shared" si="3"/>
        <v>811</v>
      </c>
      <c r="F27" s="108">
        <f t="shared" si="4"/>
        <v>5</v>
      </c>
      <c r="G27" s="112">
        <f t="shared" si="5"/>
        <v>162.199999983</v>
      </c>
      <c r="L27" s="108">
        <f>INDEX(Starter!A:A,ROW()-1)</f>
        <v>7813</v>
      </c>
      <c r="M27" s="108">
        <f>SUMIF(Erfassung4!BD:BD,L27,Erfassung4!BS:BS)</f>
        <v>733</v>
      </c>
      <c r="N27" s="108">
        <f>SUMIF(Erfassung4!BD:BD,L27,Erfassung4!BG:BG)</f>
        <v>4</v>
      </c>
      <c r="O27" s="108">
        <f t="shared" si="0"/>
        <v>183.249999973</v>
      </c>
      <c r="P27" s="108">
        <f t="shared" si="1"/>
        <v>8</v>
      </c>
    </row>
    <row r="28" spans="1:16" x14ac:dyDescent="0.2">
      <c r="A28" s="108">
        <f t="shared" si="6"/>
        <v>24</v>
      </c>
      <c r="B28" s="108">
        <f t="shared" si="2"/>
        <v>38823</v>
      </c>
      <c r="C28" s="108" t="str">
        <f>IFERROR(INDEX(Starter!B:B,MATCH(B28,Starter!A:A,0)),"")</f>
        <v>Sommerer, Stefan</v>
      </c>
      <c r="D28" s="108" t="str">
        <f>IFERROR(INDEX(Starter!C:C,MATCH(B28,Starter!A:A,0)),"")</f>
        <v>Kings Club Bayreuth</v>
      </c>
      <c r="E28" s="117">
        <f t="shared" si="3"/>
        <v>803</v>
      </c>
      <c r="F28" s="108">
        <f t="shared" si="4"/>
        <v>5</v>
      </c>
      <c r="G28" s="112">
        <f t="shared" si="5"/>
        <v>160.59999998399999</v>
      </c>
      <c r="L28" s="108">
        <f>INDEX(Starter!A:A,ROW()-1)</f>
        <v>7730</v>
      </c>
      <c r="M28" s="108">
        <f>SUMIF(Erfassung4!BD:BD,L28,Erfassung4!BS:BS)</f>
        <v>0</v>
      </c>
      <c r="N28" s="108">
        <f>SUMIF(Erfassung4!BD:BD,L28,Erfassung4!BG:BG)</f>
        <v>0</v>
      </c>
      <c r="O28" s="108">
        <f t="shared" si="0"/>
        <v>0</v>
      </c>
      <c r="P28" s="108">
        <f t="shared" si="1"/>
        <v>27</v>
      </c>
    </row>
    <row r="29" spans="1:16" x14ac:dyDescent="0.2">
      <c r="A29" s="108">
        <f t="shared" si="6"/>
        <v>25</v>
      </c>
      <c r="B29" s="108">
        <f t="shared" si="2"/>
        <v>25479</v>
      </c>
      <c r="C29" s="108" t="str">
        <f>IFERROR(INDEX(Starter!B:B,MATCH(B29,Starter!A:A,0)),"")</f>
        <v>Theisen, Alexander</v>
      </c>
      <c r="D29" s="108" t="str">
        <f>IFERROR(INDEX(Starter!C:C,MATCH(B29,Starter!A:A,0)),"")</f>
        <v>Kings Club Bayreuth</v>
      </c>
      <c r="E29" s="117">
        <f t="shared" si="3"/>
        <v>776</v>
      </c>
      <c r="F29" s="108">
        <f t="shared" si="4"/>
        <v>5</v>
      </c>
      <c r="G29" s="112">
        <f t="shared" si="5"/>
        <v>155.199999996</v>
      </c>
      <c r="L29" s="108">
        <f>INDEX(Starter!A:A,ROW()-1)</f>
        <v>25130</v>
      </c>
      <c r="M29" s="108">
        <f>SUMIF(Erfassung4!BD:BD,L29,Erfassung4!BS:BS)</f>
        <v>900</v>
      </c>
      <c r="N29" s="108">
        <f>SUMIF(Erfassung4!BD:BD,L29,Erfassung4!BG:BG)</f>
        <v>5</v>
      </c>
      <c r="O29" s="108">
        <f t="shared" si="0"/>
        <v>179.99999997099999</v>
      </c>
      <c r="P29" s="108">
        <f t="shared" si="1"/>
        <v>12</v>
      </c>
    </row>
    <row r="30" spans="1:16" x14ac:dyDescent="0.2">
      <c r="A30" s="108">
        <f t="shared" si="6"/>
        <v>26</v>
      </c>
      <c r="B30" s="108">
        <f t="shared" si="2"/>
        <v>7123</v>
      </c>
      <c r="C30" s="108" t="str">
        <f>IFERROR(INDEX(Starter!B:B,MATCH(B30,Starter!A:A,0)),"")</f>
        <v>Reichert, Roland</v>
      </c>
      <c r="D30" s="108" t="str">
        <f>IFERROR(INDEX(Starter!C:C,MATCH(B30,Starter!A:A,0)),"")</f>
        <v>Kings Club Bayreuth</v>
      </c>
      <c r="E30" s="117">
        <f t="shared" si="3"/>
        <v>735</v>
      </c>
      <c r="F30" s="108">
        <f t="shared" si="4"/>
        <v>5</v>
      </c>
      <c r="G30" s="112">
        <f t="shared" si="5"/>
        <v>146.999999997</v>
      </c>
      <c r="L30" s="108">
        <f>INDEX(Starter!A:A,ROW()-1)</f>
        <v>7854</v>
      </c>
      <c r="M30" s="108">
        <f>SUMIF(Erfassung4!BD:BD,L30,Erfassung4!BS:BS)</f>
        <v>0</v>
      </c>
      <c r="N30" s="108">
        <f>SUMIF(Erfassung4!BD:BD,L30,Erfassung4!BG:BG)</f>
        <v>0</v>
      </c>
      <c r="O30" s="108">
        <f t="shared" si="0"/>
        <v>0</v>
      </c>
      <c r="P30" s="108">
        <f t="shared" si="1"/>
        <v>27</v>
      </c>
    </row>
    <row r="31" spans="1:16" x14ac:dyDescent="0.2">
      <c r="A31" s="108" t="str">
        <f t="shared" si="6"/>
        <v/>
      </c>
      <c r="B31" s="108" t="str">
        <f t="shared" si="2"/>
        <v/>
      </c>
      <c r="C31" s="108" t="str">
        <f>IFERROR(INDEX(Starter!B:B,MATCH(B31,Starter!A:A,0)),"")</f>
        <v/>
      </c>
      <c r="D31" s="108" t="str">
        <f>IFERROR(INDEX(Starter!C:C,MATCH(B31,Starter!A:A,0)),"")</f>
        <v/>
      </c>
      <c r="E31" s="117" t="str">
        <f t="shared" si="3"/>
        <v/>
      </c>
      <c r="F31" s="108" t="str">
        <f t="shared" si="4"/>
        <v/>
      </c>
      <c r="G31" s="112" t="str">
        <f t="shared" si="5"/>
        <v/>
      </c>
      <c r="L31" s="108">
        <f>INDEX(Starter!A:A,ROW()-1)</f>
        <v>7849</v>
      </c>
      <c r="M31" s="108">
        <f>SUMIF(Erfassung4!BD:BD,L31,Erfassung4!BS:BS)</f>
        <v>820</v>
      </c>
      <c r="N31" s="108">
        <f>SUMIF(Erfassung4!BD:BD,L31,Erfassung4!BG:BG)</f>
        <v>5</v>
      </c>
      <c r="O31" s="108">
        <f t="shared" si="0"/>
        <v>163.99999996899999</v>
      </c>
      <c r="P31" s="108">
        <f t="shared" si="1"/>
        <v>22</v>
      </c>
    </row>
    <row r="32" spans="1:16" x14ac:dyDescent="0.2">
      <c r="A32" s="108" t="str">
        <f t="shared" si="6"/>
        <v/>
      </c>
      <c r="B32" s="108" t="str">
        <f t="shared" si="2"/>
        <v/>
      </c>
      <c r="C32" s="108" t="str">
        <f>IFERROR(INDEX(Starter!B:B,MATCH(B32,Starter!A:A,0)),"")</f>
        <v/>
      </c>
      <c r="D32" s="108" t="str">
        <f>IFERROR(INDEX(Starter!C:C,MATCH(B32,Starter!A:A,0)),"")</f>
        <v/>
      </c>
      <c r="E32" s="117" t="str">
        <f t="shared" si="3"/>
        <v/>
      </c>
      <c r="F32" s="108" t="str">
        <f t="shared" si="4"/>
        <v/>
      </c>
      <c r="G32" s="112" t="str">
        <f t="shared" si="5"/>
        <v/>
      </c>
      <c r="L32" s="108">
        <f>INDEX(Starter!A:A,ROW()-1)</f>
        <v>38869</v>
      </c>
      <c r="M32" s="108">
        <f>SUMIF(Erfassung4!BD:BD,L32,Erfassung4!BS:BS)</f>
        <v>200</v>
      </c>
      <c r="N32" s="108">
        <f>SUMIF(Erfassung4!BD:BD,L32,Erfassung4!BG:BG)</f>
        <v>1</v>
      </c>
      <c r="O32" s="108">
        <f t="shared" si="0"/>
        <v>199.999999968</v>
      </c>
      <c r="P32" s="108">
        <f t="shared" si="1"/>
        <v>5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SUMIF(Erfassung4!BD:BD,L33,Erfassung4!BS:BS)</f>
        <v>0</v>
      </c>
      <c r="N33" s="108">
        <f>SUMIF(Erfassung4!BD:BD,L33,Erfassung4!BG:BG)</f>
        <v>0</v>
      </c>
      <c r="O33" s="108">
        <f t="shared" si="0"/>
        <v>0</v>
      </c>
      <c r="P33" s="108">
        <f t="shared" si="1"/>
        <v>27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SUMIF(Erfassung4!BD:BD,L34,Erfassung4!BS:BS)</f>
        <v>0</v>
      </c>
      <c r="N34" s="108">
        <f>SUMIF(Erfassung4!BD:BD,L34,Erfassung4!BG:BG)</f>
        <v>0</v>
      </c>
      <c r="O34" s="108">
        <f t="shared" si="0"/>
        <v>0</v>
      </c>
      <c r="P34" s="108">
        <f t="shared" si="1"/>
        <v>27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SUMIF(Erfassung4!BD:BD,L35,Erfassung4!BS:BS)</f>
        <v>897</v>
      </c>
      <c r="N35" s="108">
        <f>SUMIF(Erfassung4!BD:BD,L35,Erfassung4!BG:BG)</f>
        <v>5</v>
      </c>
      <c r="O35" s="108">
        <f t="shared" si="0"/>
        <v>179.39999996500001</v>
      </c>
      <c r="P35" s="108">
        <f t="shared" si="1"/>
        <v>13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SUMIF(Erfassung4!BD:BD,L36,Erfassung4!BS:BS)</f>
        <v>906</v>
      </c>
      <c r="N36" s="108">
        <f>SUMIF(Erfassung4!BD:BD,L36,Erfassung4!BG:BG)</f>
        <v>5</v>
      </c>
      <c r="O36" s="108">
        <f t="shared" si="0"/>
        <v>181.199999964</v>
      </c>
      <c r="P36" s="108">
        <f t="shared" si="1"/>
        <v>10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SUMIF(Erfassung4!BD:BD,L37,Erfassung4!BS:BS)</f>
        <v>0</v>
      </c>
      <c r="N37" s="108">
        <f>SUMIF(Erfassung4!BD:BD,L37,Erfassung4!BG:BG)</f>
        <v>0</v>
      </c>
      <c r="O37" s="108">
        <f t="shared" si="0"/>
        <v>0</v>
      </c>
      <c r="P37" s="108">
        <f t="shared" si="1"/>
        <v>27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SUMIF(Erfassung4!BD:BD,L38,Erfassung4!BS:BS)</f>
        <v>837</v>
      </c>
      <c r="N38" s="108">
        <f>SUMIF(Erfassung4!BD:BD,L38,Erfassung4!BG:BG)</f>
        <v>5</v>
      </c>
      <c r="O38" s="108">
        <f t="shared" si="0"/>
        <v>167.39999996200001</v>
      </c>
      <c r="P38" s="108">
        <f t="shared" si="1"/>
        <v>20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SUMIF(Erfassung4!BD:BD,L39,Erfassung4!BS:BS)</f>
        <v>881</v>
      </c>
      <c r="N39" s="108">
        <f>SUMIF(Erfassung4!BD:BD,L39,Erfassung4!BG:BG)</f>
        <v>5</v>
      </c>
      <c r="O39" s="108">
        <f t="shared" si="0"/>
        <v>176.19999996099997</v>
      </c>
      <c r="P39" s="108">
        <f t="shared" si="1"/>
        <v>15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SUMIF(Erfassung4!BD:BD,L40,Erfassung4!BS:BS)</f>
        <v>869</v>
      </c>
      <c r="N40" s="108">
        <f>SUMIF(Erfassung4!BD:BD,L40,Erfassung4!BG:BG)</f>
        <v>5</v>
      </c>
      <c r="O40" s="108">
        <f t="shared" si="0"/>
        <v>173.79999996000001</v>
      </c>
      <c r="P40" s="108">
        <f t="shared" si="1"/>
        <v>17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SUMIF(Erfassung4!BD:BD,L41,Erfassung4!BS:BS)</f>
        <v>0</v>
      </c>
      <c r="N41" s="108">
        <f>SUMIF(Erfassung4!BD:BD,L41,Erfassung4!BG:BG)</f>
        <v>0</v>
      </c>
      <c r="O41" s="108">
        <f t="shared" si="0"/>
        <v>0</v>
      </c>
      <c r="P41" s="108">
        <f t="shared" si="1"/>
        <v>27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SUMIF(Erfassung4!BD:BD,L42,Erfassung4!BS:BS)</f>
        <v>905</v>
      </c>
      <c r="N42" s="108">
        <f>SUMIF(Erfassung4!BD:BD,L42,Erfassung4!BG:BG)</f>
        <v>5</v>
      </c>
      <c r="O42" s="108">
        <f t="shared" si="0"/>
        <v>180.99999995799999</v>
      </c>
      <c r="P42" s="108">
        <f t="shared" si="1"/>
        <v>11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SUMIF(Erfassung4!BD:BD,L43,Erfassung4!BS:BS)</f>
        <v>1073</v>
      </c>
      <c r="N43" s="108">
        <f>SUMIF(Erfassung4!BD:BD,L43,Erfassung4!BG:BG)</f>
        <v>5</v>
      </c>
      <c r="O43" s="108">
        <f t="shared" si="0"/>
        <v>214.59999995699999</v>
      </c>
      <c r="P43" s="108">
        <f t="shared" si="1"/>
        <v>1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SUMIF(Erfassung4!BD:BD,L44,Erfassung4!BS:BS)</f>
        <v>0</v>
      </c>
      <c r="N44" s="108">
        <f>SUMIF(Erfassung4!BD:BD,L44,Erfassung4!BG:BG)</f>
        <v>0</v>
      </c>
      <c r="O44" s="108">
        <f t="shared" si="0"/>
        <v>0</v>
      </c>
      <c r="P44" s="108">
        <f t="shared" si="1"/>
        <v>27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SUMIF(Erfassung4!BD:BD,L45,Erfassung4!BS:BS)</f>
        <v>0</v>
      </c>
      <c r="N45" s="108">
        <f>SUMIF(Erfassung4!BD:BD,L45,Erfassung4!BG:BG)</f>
        <v>0</v>
      </c>
      <c r="O45" s="108">
        <f t="shared" si="0"/>
        <v>0</v>
      </c>
      <c r="P45" s="108">
        <f t="shared" si="1"/>
        <v>27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SUMIF(Erfassung4!BD:BD,L46,Erfassung4!BS:BS)</f>
        <v>0</v>
      </c>
      <c r="N46" s="108">
        <f>SUMIF(Erfassung4!BD:BD,L46,Erfassung4!BG:BG)</f>
        <v>0</v>
      </c>
      <c r="O46" s="108">
        <f t="shared" si="0"/>
        <v>0</v>
      </c>
      <c r="P46" s="108">
        <f t="shared" si="1"/>
        <v>27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SUMIF(Erfassung4!BD:BD,L47,Erfassung4!BS:BS)</f>
        <v>0</v>
      </c>
      <c r="N47" s="108">
        <f>SUMIF(Erfassung4!BD:BD,L47,Erfassung4!BG:BG)</f>
        <v>0</v>
      </c>
      <c r="O47" s="108">
        <f t="shared" si="0"/>
        <v>0</v>
      </c>
      <c r="P47" s="108">
        <f t="shared" si="1"/>
        <v>27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SUMIF(Erfassung4!BD:BD,L48,Erfassung4!BS:BS)</f>
        <v>0</v>
      </c>
      <c r="N48" s="108">
        <f>SUMIF(Erfassung4!BD:BD,L48,Erfassung4!BG:BG)</f>
        <v>0</v>
      </c>
      <c r="O48" s="108">
        <f t="shared" si="0"/>
        <v>0</v>
      </c>
      <c r="P48" s="108">
        <f t="shared" si="1"/>
        <v>27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SUMIF(Erfassung4!BD:BD,L49,Erfassung4!BS:BS)</f>
        <v>0</v>
      </c>
      <c r="N49" s="108">
        <f>SUMIF(Erfassung4!BD:BD,L49,Erfassung4!BG:BG)</f>
        <v>0</v>
      </c>
      <c r="O49" s="108">
        <f t="shared" si="0"/>
        <v>0</v>
      </c>
      <c r="P49" s="108">
        <f t="shared" si="1"/>
        <v>27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SUMIF(Erfassung4!BD:BD,L50,Erfassung4!BS:BS)</f>
        <v>0</v>
      </c>
      <c r="N50" s="108">
        <f>SUMIF(Erfassung4!BD:BD,L50,Erfassung4!BG:BG)</f>
        <v>0</v>
      </c>
      <c r="O50" s="108">
        <f t="shared" si="0"/>
        <v>0</v>
      </c>
      <c r="P50" s="108">
        <f t="shared" si="1"/>
        <v>27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SUMIF(Erfassung4!BD:BD,L51,Erfassung4!BS:BS)</f>
        <v>0</v>
      </c>
      <c r="N51" s="108">
        <f>SUMIF(Erfassung4!BD:BD,L51,Erfassung4!BG:BG)</f>
        <v>0</v>
      </c>
      <c r="O51" s="108">
        <f t="shared" si="0"/>
        <v>0</v>
      </c>
      <c r="P51" s="108">
        <f t="shared" si="1"/>
        <v>27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SUMIF(Erfassung4!BD:BD,L52,Erfassung4!BS:BS)</f>
        <v>0</v>
      </c>
      <c r="N52" s="108">
        <f>SUMIF(Erfassung4!BD:BD,L52,Erfassung4!BG:BG)</f>
        <v>0</v>
      </c>
      <c r="O52" s="108">
        <f t="shared" si="0"/>
        <v>0</v>
      </c>
      <c r="P52" s="108">
        <f t="shared" si="1"/>
        <v>27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SUMIF(Erfassung4!BD:BD,L53,Erfassung4!BS:BS)</f>
        <v>0</v>
      </c>
      <c r="N53" s="108">
        <f>SUMIF(Erfassung4!BD:BD,L53,Erfassung4!BG:BG)</f>
        <v>0</v>
      </c>
      <c r="O53" s="108">
        <f t="shared" si="0"/>
        <v>0</v>
      </c>
      <c r="P53" s="108">
        <f t="shared" si="1"/>
        <v>27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SUMIF(Erfassung4!BD:BD,L54,Erfassung4!BS:BS)</f>
        <v>0</v>
      </c>
      <c r="N54" s="108">
        <f>SUMIF(Erfassung4!BD:BD,L54,Erfassung4!BG:BG)</f>
        <v>0</v>
      </c>
      <c r="O54" s="108">
        <f t="shared" si="0"/>
        <v>0</v>
      </c>
      <c r="P54" s="108">
        <f t="shared" si="1"/>
        <v>27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SUMIF(Erfassung4!BD:BD,L55,Erfassung4!BS:BS)</f>
        <v>0</v>
      </c>
      <c r="N55" s="108">
        <f>SUMIF(Erfassung4!BD:BD,L55,Erfassung4!BG:BG)</f>
        <v>0</v>
      </c>
      <c r="O55" s="108">
        <f t="shared" si="0"/>
        <v>0</v>
      </c>
      <c r="P55" s="108">
        <f t="shared" si="1"/>
        <v>27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SUMIF(Erfassung4!BD:BD,L56,Erfassung4!BS:BS)</f>
        <v>0</v>
      </c>
      <c r="N56" s="108">
        <f>SUMIF(Erfassung4!BD:BD,L56,Erfassung4!BG:BG)</f>
        <v>0</v>
      </c>
      <c r="O56" s="108">
        <f t="shared" si="0"/>
        <v>0</v>
      </c>
      <c r="P56" s="108">
        <f t="shared" si="1"/>
        <v>27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SUMIF(Erfassung4!BD:BD,L57,Erfassung4!BS:BS)</f>
        <v>0</v>
      </c>
      <c r="N57" s="108">
        <f>SUMIF(Erfassung4!BD:BD,L57,Erfassung4!BG:BG)</f>
        <v>0</v>
      </c>
      <c r="O57" s="108">
        <f t="shared" si="0"/>
        <v>0</v>
      </c>
      <c r="P57" s="108">
        <f t="shared" si="1"/>
        <v>27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SUMIF(Erfassung4!BD:BD,L58,Erfassung4!BS:BS)</f>
        <v>0</v>
      </c>
      <c r="N58" s="108">
        <f>SUMIF(Erfassung4!BD:BD,L58,Erfassung4!BG:BG)</f>
        <v>0</v>
      </c>
      <c r="O58" s="108">
        <f t="shared" si="0"/>
        <v>0</v>
      </c>
      <c r="P58" s="108">
        <f t="shared" si="1"/>
        <v>27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SUMIF(Erfassung4!BD:BD,L59,Erfassung4!BS:BS)</f>
        <v>0</v>
      </c>
      <c r="N59" s="108">
        <f>SUMIF(Erfassung4!BD:BD,L59,Erfassung4!BG:BG)</f>
        <v>0</v>
      </c>
      <c r="O59" s="108">
        <f t="shared" si="0"/>
        <v>0</v>
      </c>
      <c r="P59" s="108">
        <f t="shared" si="1"/>
        <v>27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SUMIF(Erfassung4!BD:BD,L60,Erfassung4!BS:BS)</f>
        <v>0</v>
      </c>
      <c r="N60" s="108">
        <f>SUMIF(Erfassung4!BD:BD,L60,Erfassung4!BG:BG)</f>
        <v>0</v>
      </c>
      <c r="O60" s="108">
        <f t="shared" si="0"/>
        <v>0</v>
      </c>
      <c r="P60" s="108">
        <f t="shared" si="1"/>
        <v>27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SUMIF(Erfassung4!BD:BD,L61,Erfassung4!BS:BS)</f>
        <v>0</v>
      </c>
      <c r="N61" s="108">
        <f>SUMIF(Erfassung4!BD:BD,L61,Erfassung4!BG:BG)</f>
        <v>0</v>
      </c>
      <c r="O61" s="108">
        <f t="shared" si="0"/>
        <v>0</v>
      </c>
      <c r="P61" s="108">
        <f t="shared" si="1"/>
        <v>27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SUMIF(Erfassung4!BD:BD,L62,Erfassung4!BS:BS)</f>
        <v>0</v>
      </c>
      <c r="N62" s="108">
        <f>SUMIF(Erfassung4!BD:BD,L62,Erfassung4!BG:BG)</f>
        <v>0</v>
      </c>
      <c r="O62" s="108">
        <f t="shared" si="0"/>
        <v>0</v>
      </c>
      <c r="P62" s="108">
        <f t="shared" si="1"/>
        <v>27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SUMIF(Erfassung4!BD:BD,L63,Erfassung4!BS:BS)</f>
        <v>0</v>
      </c>
      <c r="N63" s="108">
        <f>SUMIF(Erfassung4!BD:BD,L63,Erfassung4!BG:BG)</f>
        <v>0</v>
      </c>
      <c r="O63" s="108">
        <f t="shared" si="0"/>
        <v>0</v>
      </c>
      <c r="P63" s="108">
        <f t="shared" si="1"/>
        <v>27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SUMIF(Erfassung4!BD:BD,L64,Erfassung4!BS:BS)</f>
        <v>0</v>
      </c>
      <c r="N64" s="108">
        <f>SUMIF(Erfassung4!BD:BD,L64,Erfassung4!BG:BG)</f>
        <v>0</v>
      </c>
      <c r="O64" s="108">
        <f t="shared" si="0"/>
        <v>0</v>
      </c>
      <c r="P64" s="108">
        <f t="shared" si="1"/>
        <v>27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SUMIF(Erfassung4!BD:BD,L65,Erfassung4!BS:BS)</f>
        <v>0</v>
      </c>
      <c r="N65" s="108">
        <f>SUMIF(Erfassung4!BD:BD,L65,Erfassung4!BG:BG)</f>
        <v>0</v>
      </c>
      <c r="O65" s="108">
        <f t="shared" si="0"/>
        <v>0</v>
      </c>
      <c r="P65" s="108">
        <f t="shared" si="1"/>
        <v>27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SUMIF(Erfassung4!BD:BD,L66,Erfassung4!BS:BS)</f>
        <v>0</v>
      </c>
      <c r="N66" s="108">
        <f>SUMIF(Erfassung4!BD:BD,L66,Erfassung4!BG:BG)</f>
        <v>0</v>
      </c>
      <c r="O66" s="108">
        <f t="shared" ref="O66:O104" si="7">IF(N66=0,0,M66/N66-ROW()/1000000000)</f>
        <v>0</v>
      </c>
      <c r="P66" s="108">
        <f t="shared" ref="P66:P104" si="8">RANK(O66,O:O)</f>
        <v>27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SUMIF(Erfassung4!BD:BD,L67,Erfassung4!BS:BS)</f>
        <v>0</v>
      </c>
      <c r="N67" s="108">
        <f>SUMIF(Erfassung4!BD:BD,L67,Erfassung4!BG:BG)</f>
        <v>0</v>
      </c>
      <c r="O67" s="108">
        <f t="shared" si="7"/>
        <v>0</v>
      </c>
      <c r="P67" s="108">
        <f t="shared" si="8"/>
        <v>27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SUMIF(Erfassung4!BD:BD,L68,Erfassung4!BS:BS)</f>
        <v>0</v>
      </c>
      <c r="N68" s="108">
        <f>SUMIF(Erfassung4!BD:BD,L68,Erfassung4!BG:BG)</f>
        <v>0</v>
      </c>
      <c r="O68" s="108">
        <f t="shared" si="7"/>
        <v>0</v>
      </c>
      <c r="P68" s="108">
        <f t="shared" si="8"/>
        <v>27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SUMIF(Erfassung4!BD:BD,L69,Erfassung4!BS:BS)</f>
        <v>0</v>
      </c>
      <c r="N69" s="108">
        <f>SUMIF(Erfassung4!BD:BD,L69,Erfassung4!BG:BG)</f>
        <v>0</v>
      </c>
      <c r="O69" s="108">
        <f t="shared" si="7"/>
        <v>0</v>
      </c>
      <c r="P69" s="108">
        <f t="shared" si="8"/>
        <v>27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SUMIF(Erfassung4!BD:BD,L70,Erfassung4!BS:BS)</f>
        <v>0</v>
      </c>
      <c r="N70" s="108">
        <f>SUMIF(Erfassung4!BD:BD,L70,Erfassung4!BG:BG)</f>
        <v>0</v>
      </c>
      <c r="O70" s="108">
        <f t="shared" si="7"/>
        <v>0</v>
      </c>
      <c r="P70" s="108">
        <f t="shared" si="8"/>
        <v>27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SUMIF(Erfassung4!BD:BD,L71,Erfassung4!BS:BS)</f>
        <v>0</v>
      </c>
      <c r="N71" s="108">
        <f>SUMIF(Erfassung4!BD:BD,L71,Erfassung4!BG:BG)</f>
        <v>0</v>
      </c>
      <c r="O71" s="108">
        <f t="shared" si="7"/>
        <v>0</v>
      </c>
      <c r="P71" s="108">
        <f t="shared" si="8"/>
        <v>27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SUMIF(Erfassung4!BD:BD,L72,Erfassung4!BS:BS)</f>
        <v>0</v>
      </c>
      <c r="N72" s="108">
        <f>SUMIF(Erfassung4!BD:BD,L72,Erfassung4!BG:BG)</f>
        <v>0</v>
      </c>
      <c r="O72" s="108">
        <f t="shared" si="7"/>
        <v>0</v>
      </c>
      <c r="P72" s="108">
        <f t="shared" si="8"/>
        <v>27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SUMIF(Erfassung4!BD:BD,L73,Erfassung4!BS:BS)</f>
        <v>0</v>
      </c>
      <c r="N73" s="108">
        <f>SUMIF(Erfassung4!BD:BD,L73,Erfassung4!BG:BG)</f>
        <v>0</v>
      </c>
      <c r="O73" s="108">
        <f t="shared" si="7"/>
        <v>0</v>
      </c>
      <c r="P73" s="108">
        <f t="shared" si="8"/>
        <v>27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SUMIF(Erfassung4!BD:BD,L74,Erfassung4!BS:BS)</f>
        <v>0</v>
      </c>
      <c r="N74" s="108">
        <f>SUMIF(Erfassung4!BD:BD,L74,Erfassung4!BG:BG)</f>
        <v>0</v>
      </c>
      <c r="O74" s="108">
        <f t="shared" si="7"/>
        <v>0</v>
      </c>
      <c r="P74" s="108">
        <f t="shared" si="8"/>
        <v>27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SUMIF(Erfassung4!BD:BD,L75,Erfassung4!BS:BS)</f>
        <v>0</v>
      </c>
      <c r="N75" s="108">
        <f>SUMIF(Erfassung4!BD:BD,L75,Erfassung4!BG:BG)</f>
        <v>0</v>
      </c>
      <c r="O75" s="108">
        <f t="shared" si="7"/>
        <v>0</v>
      </c>
      <c r="P75" s="108">
        <f t="shared" si="8"/>
        <v>27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SUMIF(Erfassung4!BD:BD,L76,Erfassung4!BS:BS)</f>
        <v>0</v>
      </c>
      <c r="N76" s="108">
        <f>SUMIF(Erfassung4!BD:BD,L76,Erfassung4!BG:BG)</f>
        <v>0</v>
      </c>
      <c r="O76" s="108">
        <f t="shared" si="7"/>
        <v>0</v>
      </c>
      <c r="P76" s="108">
        <f t="shared" si="8"/>
        <v>27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SUMIF(Erfassung4!BD:BD,L77,Erfassung4!BS:BS)</f>
        <v>0</v>
      </c>
      <c r="N77" s="108">
        <f>SUMIF(Erfassung4!BD:BD,L77,Erfassung4!BG:BG)</f>
        <v>0</v>
      </c>
      <c r="O77" s="108">
        <f t="shared" si="7"/>
        <v>0</v>
      </c>
      <c r="P77" s="108">
        <f t="shared" si="8"/>
        <v>27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SUMIF(Erfassung4!BD:BD,L78,Erfassung4!BS:BS)</f>
        <v>0</v>
      </c>
      <c r="N78" s="108">
        <f>SUMIF(Erfassung4!BD:BD,L78,Erfassung4!BG:BG)</f>
        <v>0</v>
      </c>
      <c r="O78" s="108">
        <f t="shared" si="7"/>
        <v>0</v>
      </c>
      <c r="P78" s="108">
        <f t="shared" si="8"/>
        <v>27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SUMIF(Erfassung4!BD:BD,L79,Erfassung4!BS:BS)</f>
        <v>0</v>
      </c>
      <c r="N79" s="108">
        <f>SUMIF(Erfassung4!BD:BD,L79,Erfassung4!BG:BG)</f>
        <v>0</v>
      </c>
      <c r="O79" s="108">
        <f t="shared" si="7"/>
        <v>0</v>
      </c>
      <c r="P79" s="108">
        <f t="shared" si="8"/>
        <v>27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SUMIF(Erfassung4!BD:BD,L80,Erfassung4!BS:BS)</f>
        <v>0</v>
      </c>
      <c r="N80" s="108">
        <f>SUMIF(Erfassung4!BD:BD,L80,Erfassung4!BG:BG)</f>
        <v>0</v>
      </c>
      <c r="O80" s="108">
        <f t="shared" si="7"/>
        <v>0</v>
      </c>
      <c r="P80" s="108">
        <f t="shared" si="8"/>
        <v>27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SUMIF(Erfassung4!BD:BD,L81,Erfassung4!BS:BS)</f>
        <v>0</v>
      </c>
      <c r="N81" s="108">
        <f>SUMIF(Erfassung4!BD:BD,L81,Erfassung4!BG:BG)</f>
        <v>0</v>
      </c>
      <c r="O81" s="108">
        <f t="shared" si="7"/>
        <v>0</v>
      </c>
      <c r="P81" s="108">
        <f t="shared" si="8"/>
        <v>27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SUMIF(Erfassung4!BD:BD,L82,Erfassung4!BS:BS)</f>
        <v>0</v>
      </c>
      <c r="N82" s="108">
        <f>SUMIF(Erfassung4!BD:BD,L82,Erfassung4!BG:BG)</f>
        <v>0</v>
      </c>
      <c r="O82" s="108">
        <f t="shared" si="7"/>
        <v>0</v>
      </c>
      <c r="P82" s="108">
        <f t="shared" si="8"/>
        <v>27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SUMIF(Erfassung4!BD:BD,L83,Erfassung4!BS:BS)</f>
        <v>0</v>
      </c>
      <c r="N83" s="108">
        <f>SUMIF(Erfassung4!BD:BD,L83,Erfassung4!BG:BG)</f>
        <v>0</v>
      </c>
      <c r="O83" s="108">
        <f t="shared" si="7"/>
        <v>0</v>
      </c>
      <c r="P83" s="108">
        <f t="shared" si="8"/>
        <v>27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SUMIF(Erfassung4!BD:BD,L84,Erfassung4!BS:BS)</f>
        <v>0</v>
      </c>
      <c r="N84" s="108">
        <f>SUMIF(Erfassung4!BD:BD,L84,Erfassung4!BG:BG)</f>
        <v>0</v>
      </c>
      <c r="O84" s="108">
        <f t="shared" si="7"/>
        <v>0</v>
      </c>
      <c r="P84" s="108">
        <f t="shared" si="8"/>
        <v>27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SUMIF(Erfassung4!BD:BD,L85,Erfassung4!BS:BS)</f>
        <v>0</v>
      </c>
      <c r="N85" s="108">
        <f>SUMIF(Erfassung4!BD:BD,L85,Erfassung4!BG:BG)</f>
        <v>0</v>
      </c>
      <c r="O85" s="108">
        <f t="shared" si="7"/>
        <v>0</v>
      </c>
      <c r="P85" s="108">
        <f t="shared" si="8"/>
        <v>27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SUMIF(Erfassung4!BD:BD,L86,Erfassung4!BS:BS)</f>
        <v>0</v>
      </c>
      <c r="N86" s="108">
        <f>SUMIF(Erfassung4!BD:BD,L86,Erfassung4!BG:BG)</f>
        <v>0</v>
      </c>
      <c r="O86" s="108">
        <f t="shared" si="7"/>
        <v>0</v>
      </c>
      <c r="P86" s="108">
        <f t="shared" si="8"/>
        <v>27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SUMIF(Erfassung4!BD:BD,L87,Erfassung4!BS:BS)</f>
        <v>0</v>
      </c>
      <c r="N87" s="108">
        <f>SUMIF(Erfassung4!BD:BD,L87,Erfassung4!BG:BG)</f>
        <v>0</v>
      </c>
      <c r="O87" s="108">
        <f t="shared" si="7"/>
        <v>0</v>
      </c>
      <c r="P87" s="108">
        <f t="shared" si="8"/>
        <v>27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SUMIF(Erfassung4!BD:BD,L88,Erfassung4!BS:BS)</f>
        <v>0</v>
      </c>
      <c r="N88" s="108">
        <f>SUMIF(Erfassung4!BD:BD,L88,Erfassung4!BG:BG)</f>
        <v>0</v>
      </c>
      <c r="O88" s="108">
        <f t="shared" si="7"/>
        <v>0</v>
      </c>
      <c r="P88" s="108">
        <f t="shared" si="8"/>
        <v>27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SUMIF(Erfassung4!BD:BD,L89,Erfassung4!BS:BS)</f>
        <v>0</v>
      </c>
      <c r="N89" s="108">
        <f>SUMIF(Erfassung4!BD:BD,L89,Erfassung4!BG:BG)</f>
        <v>0</v>
      </c>
      <c r="O89" s="108">
        <f t="shared" si="7"/>
        <v>0</v>
      </c>
      <c r="P89" s="108">
        <f t="shared" si="8"/>
        <v>27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SUMIF(Erfassung4!BD:BD,L90,Erfassung4!BS:BS)</f>
        <v>0</v>
      </c>
      <c r="N90" s="108">
        <f>SUMIF(Erfassung4!BD:BD,L90,Erfassung4!BG:BG)</f>
        <v>0</v>
      </c>
      <c r="O90" s="108">
        <f t="shared" si="7"/>
        <v>0</v>
      </c>
      <c r="P90" s="108">
        <f t="shared" si="8"/>
        <v>27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SUMIF(Erfassung4!BD:BD,L91,Erfassung4!BS:BS)</f>
        <v>0</v>
      </c>
      <c r="N91" s="108">
        <f>SUMIF(Erfassung4!BD:BD,L91,Erfassung4!BG:BG)</f>
        <v>0</v>
      </c>
      <c r="O91" s="108">
        <f t="shared" si="7"/>
        <v>0</v>
      </c>
      <c r="P91" s="108">
        <f t="shared" si="8"/>
        <v>27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SUMIF(Erfassung4!BD:BD,L92,Erfassung4!BS:BS)</f>
        <v>0</v>
      </c>
      <c r="N92" s="108">
        <f>SUMIF(Erfassung4!BD:BD,L92,Erfassung4!BG:BG)</f>
        <v>0</v>
      </c>
      <c r="O92" s="108">
        <f t="shared" si="7"/>
        <v>0</v>
      </c>
      <c r="P92" s="108">
        <f t="shared" si="8"/>
        <v>27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SUMIF(Erfassung4!BD:BD,L93,Erfassung4!BS:BS)</f>
        <v>0</v>
      </c>
      <c r="N93" s="108">
        <f>SUMIF(Erfassung4!BD:BD,L93,Erfassung4!BG:BG)</f>
        <v>0</v>
      </c>
      <c r="O93" s="108">
        <f t="shared" si="7"/>
        <v>0</v>
      </c>
      <c r="P93" s="108">
        <f t="shared" si="8"/>
        <v>27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SUMIF(Erfassung4!BD:BD,L94,Erfassung4!BS:BS)</f>
        <v>0</v>
      </c>
      <c r="N94" s="108">
        <f>SUMIF(Erfassung4!BD:BD,L94,Erfassung4!BG:BG)</f>
        <v>0</v>
      </c>
      <c r="O94" s="108">
        <f t="shared" si="7"/>
        <v>0</v>
      </c>
      <c r="P94" s="108">
        <f t="shared" si="8"/>
        <v>27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SUMIF(Erfassung4!BD:BD,L95,Erfassung4!BS:BS)</f>
        <v>0</v>
      </c>
      <c r="N95" s="108">
        <f>SUMIF(Erfassung4!BD:BD,L95,Erfassung4!BG:BG)</f>
        <v>0</v>
      </c>
      <c r="O95" s="108">
        <f t="shared" si="7"/>
        <v>0</v>
      </c>
      <c r="P95" s="108">
        <f t="shared" si="8"/>
        <v>27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SUMIF(Erfassung4!BD:BD,L96,Erfassung4!BS:BS)</f>
        <v>0</v>
      </c>
      <c r="N96" s="108">
        <f>SUMIF(Erfassung4!BD:BD,L96,Erfassung4!BG:BG)</f>
        <v>0</v>
      </c>
      <c r="O96" s="108">
        <f t="shared" si="7"/>
        <v>0</v>
      </c>
      <c r="P96" s="108">
        <f t="shared" si="8"/>
        <v>27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SUMIF(Erfassung4!BD:BD,L97,Erfassung4!BS:BS)</f>
        <v>0</v>
      </c>
      <c r="N97" s="108">
        <f>SUMIF(Erfassung4!BD:BD,L97,Erfassung4!BG:BG)</f>
        <v>0</v>
      </c>
      <c r="O97" s="108">
        <f t="shared" si="7"/>
        <v>0</v>
      </c>
      <c r="P97" s="108">
        <f t="shared" si="8"/>
        <v>27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SUMIF(Erfassung4!BD:BD,L98,Erfassung4!BS:BS)</f>
        <v>0</v>
      </c>
      <c r="N98" s="108">
        <f>SUMIF(Erfassung4!BD:BD,L98,Erfassung4!BG:BG)</f>
        <v>0</v>
      </c>
      <c r="O98" s="108">
        <f t="shared" si="7"/>
        <v>0</v>
      </c>
      <c r="P98" s="108">
        <f t="shared" si="8"/>
        <v>27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SUMIF(Erfassung4!BD:BD,L99,Erfassung4!BS:BS)</f>
        <v>0</v>
      </c>
      <c r="N99" s="108">
        <f>SUMIF(Erfassung4!BD:BD,L99,Erfassung4!BG:BG)</f>
        <v>0</v>
      </c>
      <c r="O99" s="108">
        <f t="shared" si="7"/>
        <v>0</v>
      </c>
      <c r="P99" s="108">
        <f t="shared" si="8"/>
        <v>27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SUMIF(Erfassung4!BD:BD,L100,Erfassung4!BS:BS)</f>
        <v>0</v>
      </c>
      <c r="N100" s="108">
        <f>SUMIF(Erfassung4!BD:BD,L100,Erfassung4!BG:BG)</f>
        <v>0</v>
      </c>
      <c r="O100" s="108">
        <f t="shared" si="7"/>
        <v>0</v>
      </c>
      <c r="P100" s="108">
        <f t="shared" si="8"/>
        <v>27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SUMIF(Erfassung4!BD:BD,L101,Erfassung4!BS:BS)</f>
        <v>0</v>
      </c>
      <c r="N101" s="108">
        <f>SUMIF(Erfassung4!BD:BD,L101,Erfassung4!BG:BG)</f>
        <v>0</v>
      </c>
      <c r="O101" s="108">
        <f t="shared" si="7"/>
        <v>0</v>
      </c>
      <c r="P101" s="108">
        <f t="shared" si="8"/>
        <v>27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SUMIF(Erfassung4!BD:BD,L102,Erfassung4!BS:BS)</f>
        <v>0</v>
      </c>
      <c r="N102" s="108">
        <f>SUMIF(Erfassung4!BD:BD,L102,Erfassung4!BG:BG)</f>
        <v>0</v>
      </c>
      <c r="O102" s="108">
        <f t="shared" si="7"/>
        <v>0</v>
      </c>
      <c r="P102" s="108">
        <f t="shared" si="8"/>
        <v>27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SUMIF(Erfassung4!BD:BD,L103,Erfassung4!BS:BS)</f>
        <v>0</v>
      </c>
      <c r="N103" s="108">
        <f>SUMIF(Erfassung4!BD:BD,L103,Erfassung4!BG:BG)</f>
        <v>0</v>
      </c>
      <c r="O103" s="108">
        <f t="shared" si="7"/>
        <v>0</v>
      </c>
      <c r="P103" s="108">
        <f t="shared" si="8"/>
        <v>27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SUMIF(Erfassung4!BD:BD,L104,Erfassung4!BS:BS)</f>
        <v>0</v>
      </c>
      <c r="N104" s="108">
        <f>SUMIF(Erfassung4!BD:BD,L104,Erfassung4!BG:BG)</f>
        <v>0</v>
      </c>
      <c r="O104" s="108">
        <f t="shared" si="7"/>
        <v>0</v>
      </c>
      <c r="P104" s="108">
        <f t="shared" si="8"/>
        <v>27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16B6-2AF9-490F-84D4-735E23C873BC}">
  <sheetPr codeName="Tabelle18"/>
  <dimension ref="A1:DR18"/>
  <sheetViews>
    <sheetView zoomScaleNormal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baseColWidth="10" defaultRowHeight="12.75" x14ac:dyDescent="0.2"/>
  <cols>
    <col min="1" max="1" width="3.85546875" customWidth="1"/>
    <col min="2" max="2" width="28.140625" style="6" customWidth="1"/>
    <col min="3" max="11" width="3.7109375" customWidth="1"/>
    <col min="12" max="12" width="3.7109375" style="24" customWidth="1"/>
    <col min="13" max="21" width="3.7109375" customWidth="1"/>
    <col min="22" max="22" width="5.7109375" customWidth="1"/>
    <col min="23" max="31" width="3.7109375" customWidth="1"/>
    <col min="32" max="32" width="3.7109375" style="24" customWidth="1"/>
    <col min="33" max="41" width="3.7109375" customWidth="1"/>
    <col min="42" max="42" width="5.7109375" customWidth="1"/>
    <col min="43" max="51" width="3.7109375" customWidth="1"/>
    <col min="52" max="52" width="3.7109375" style="24" customWidth="1"/>
    <col min="53" max="61" width="3.7109375" customWidth="1"/>
    <col min="62" max="62" width="5.7109375" customWidth="1"/>
    <col min="63" max="71" width="3.7109375" customWidth="1"/>
    <col min="72" max="72" width="3.7109375" style="24" customWidth="1"/>
    <col min="73" max="81" width="3.7109375" customWidth="1"/>
    <col min="82" max="82" width="5.7109375" customWidth="1"/>
    <col min="83" max="91" width="3.7109375" customWidth="1"/>
    <col min="92" max="92" width="3.7109375" style="24" customWidth="1"/>
    <col min="93" max="101" width="3.7109375" customWidth="1"/>
    <col min="102" max="102" width="5.7109375" customWidth="1"/>
    <col min="103" max="111" width="3.7109375" customWidth="1"/>
    <col min="112" max="112" width="3.7109375" style="24" customWidth="1"/>
    <col min="113" max="121" width="3.7109375" customWidth="1"/>
    <col min="122" max="122" width="5.7109375" customWidth="1"/>
  </cols>
  <sheetData>
    <row r="1" spans="1:122" ht="24" customHeight="1" x14ac:dyDescent="0.2">
      <c r="C1" s="312" t="s">
        <v>2527</v>
      </c>
      <c r="D1" s="313"/>
      <c r="E1" s="313"/>
      <c r="F1" s="313"/>
      <c r="G1" s="313"/>
      <c r="H1" s="313"/>
      <c r="I1" s="313"/>
      <c r="J1" s="313"/>
      <c r="K1" s="313"/>
      <c r="L1" s="314"/>
      <c r="M1" s="306" t="str">
        <f>VLOOKUP($S$2,Spielorte!$A$1:$C$6,2)</f>
        <v>13.10.</v>
      </c>
      <c r="N1" s="307"/>
      <c r="O1" s="307"/>
      <c r="P1" s="307"/>
      <c r="Q1" s="307"/>
      <c r="R1" s="307"/>
      <c r="S1" s="307"/>
      <c r="T1" s="307"/>
      <c r="U1" s="307"/>
      <c r="V1" s="308"/>
      <c r="W1" s="303" t="str">
        <f>+C1</f>
        <v>Bezirksliga N1 Männer</v>
      </c>
      <c r="X1" s="304"/>
      <c r="Y1" s="304"/>
      <c r="Z1" s="304"/>
      <c r="AA1" s="304"/>
      <c r="AB1" s="304"/>
      <c r="AC1" s="304"/>
      <c r="AD1" s="304"/>
      <c r="AE1" s="304"/>
      <c r="AF1" s="305"/>
      <c r="AG1" s="306" t="str">
        <f>VLOOKUP($AM$2,Spielorte!$A$1:$C$6,2)</f>
        <v>03.11.</v>
      </c>
      <c r="AH1" s="307"/>
      <c r="AI1" s="307"/>
      <c r="AJ1" s="307"/>
      <c r="AK1" s="307"/>
      <c r="AL1" s="307"/>
      <c r="AM1" s="307"/>
      <c r="AN1" s="307"/>
      <c r="AO1" s="307"/>
      <c r="AP1" s="308"/>
      <c r="AQ1" s="303" t="str">
        <f>+W1</f>
        <v>Bezirksliga N1 Männer</v>
      </c>
      <c r="AR1" s="304"/>
      <c r="AS1" s="304"/>
      <c r="AT1" s="304"/>
      <c r="AU1" s="304"/>
      <c r="AV1" s="304"/>
      <c r="AW1" s="304"/>
      <c r="AX1" s="304"/>
      <c r="AY1" s="304"/>
      <c r="AZ1" s="305"/>
      <c r="BA1" s="306" t="str">
        <f>VLOOKUP($BG$2,Spielorte!$A$1:$C$6,2)</f>
        <v>16.02.</v>
      </c>
      <c r="BB1" s="307"/>
      <c r="BC1" s="307"/>
      <c r="BD1" s="307"/>
      <c r="BE1" s="307"/>
      <c r="BF1" s="307"/>
      <c r="BG1" s="307"/>
      <c r="BH1" s="307"/>
      <c r="BI1" s="307"/>
      <c r="BJ1" s="308"/>
      <c r="BK1" s="303" t="str">
        <f>+AQ1</f>
        <v>Bezirksliga N1 Männer</v>
      </c>
      <c r="BL1" s="304"/>
      <c r="BM1" s="304"/>
      <c r="BN1" s="304"/>
      <c r="BO1" s="304"/>
      <c r="BP1" s="304"/>
      <c r="BQ1" s="304"/>
      <c r="BR1" s="304"/>
      <c r="BS1" s="304"/>
      <c r="BT1" s="305"/>
      <c r="BU1" s="306" t="str">
        <f>VLOOKUP($CA$2,Spielorte!$A$1:$C$6,2)</f>
        <v>02.03.</v>
      </c>
      <c r="BV1" s="307"/>
      <c r="BW1" s="307"/>
      <c r="BX1" s="307"/>
      <c r="BY1" s="307"/>
      <c r="BZ1" s="307"/>
      <c r="CA1" s="307"/>
      <c r="CB1" s="307"/>
      <c r="CC1" s="307"/>
      <c r="CD1" s="308"/>
      <c r="CE1" s="303" t="str">
        <f>+BK1</f>
        <v>Bezirksliga N1 Männer</v>
      </c>
      <c r="CF1" s="304"/>
      <c r="CG1" s="304"/>
      <c r="CH1" s="304"/>
      <c r="CI1" s="304"/>
      <c r="CJ1" s="304"/>
      <c r="CK1" s="304"/>
      <c r="CL1" s="304"/>
      <c r="CM1" s="304"/>
      <c r="CN1" s="305"/>
      <c r="CO1" s="306" t="str">
        <f>VLOOKUP($CU$2,Spielorte!$A$1:$C$6,2)</f>
        <v>13.04.</v>
      </c>
      <c r="CP1" s="307"/>
      <c r="CQ1" s="307"/>
      <c r="CR1" s="307"/>
      <c r="CS1" s="307"/>
      <c r="CT1" s="307"/>
      <c r="CU1" s="307"/>
      <c r="CV1" s="307"/>
      <c r="CW1" s="307"/>
      <c r="CX1" s="308"/>
      <c r="CY1" s="303" t="str">
        <f>+CE1</f>
        <v>Bezirksliga N1 Männer</v>
      </c>
      <c r="CZ1" s="304"/>
      <c r="DA1" s="304"/>
      <c r="DB1" s="304"/>
      <c r="DC1" s="304"/>
      <c r="DD1" s="304"/>
      <c r="DE1" s="304"/>
      <c r="DF1" s="304"/>
      <c r="DG1" s="304"/>
      <c r="DH1" s="305"/>
      <c r="DI1" s="306" t="str">
        <f>VLOOKUP($DO$2,Spielorte!$A$1:$C$6,2)</f>
        <v>27.04.</v>
      </c>
      <c r="DJ1" s="307"/>
      <c r="DK1" s="307"/>
      <c r="DL1" s="307"/>
      <c r="DM1" s="307"/>
      <c r="DN1" s="307"/>
      <c r="DO1" s="307"/>
      <c r="DP1" s="307"/>
      <c r="DQ1" s="307"/>
      <c r="DR1" s="308"/>
    </row>
    <row r="2" spans="1:122" ht="24" customHeight="1" x14ac:dyDescent="0.2">
      <c r="C2" s="309" t="str">
        <f>VLOOKUP($S$2,Spielorte!$A$1:$C$6,3)</f>
        <v>Nürnberg West Bowling</v>
      </c>
      <c r="D2" s="310"/>
      <c r="E2" s="310"/>
      <c r="F2" s="310"/>
      <c r="G2" s="310"/>
      <c r="H2" s="310"/>
      <c r="I2" s="310"/>
      <c r="J2" s="310"/>
      <c r="K2" s="310"/>
      <c r="L2" s="311"/>
      <c r="M2" s="301" t="s">
        <v>1787</v>
      </c>
      <c r="N2" s="302"/>
      <c r="O2" s="302"/>
      <c r="P2" s="302"/>
      <c r="Q2" s="302"/>
      <c r="R2" s="302"/>
      <c r="S2" s="54">
        <v>1</v>
      </c>
      <c r="T2" s="2"/>
      <c r="U2" s="2"/>
      <c r="V2" s="55"/>
      <c r="W2" s="309" t="str">
        <f>VLOOKUP($AM$2,Spielorte!$A$1:$C$6,3)</f>
        <v>Regensburg Super Bowl</v>
      </c>
      <c r="X2" s="310"/>
      <c r="Y2" s="310"/>
      <c r="Z2" s="310"/>
      <c r="AA2" s="310"/>
      <c r="AB2" s="310"/>
      <c r="AC2" s="310"/>
      <c r="AD2" s="310"/>
      <c r="AE2" s="310"/>
      <c r="AF2" s="311"/>
      <c r="AG2" s="301" t="s">
        <v>1787</v>
      </c>
      <c r="AH2" s="302"/>
      <c r="AI2" s="302"/>
      <c r="AJ2" s="302"/>
      <c r="AK2" s="302"/>
      <c r="AL2" s="302"/>
      <c r="AM2" s="54">
        <v>2</v>
      </c>
      <c r="AN2" s="2"/>
      <c r="AO2" s="2"/>
      <c r="AP2" s="55"/>
      <c r="AQ2" s="309" t="str">
        <f>VLOOKUP($BG$2,Spielorte!$A$1:$C$6,3)</f>
        <v>Nürnberg West Bowling</v>
      </c>
      <c r="AR2" s="310"/>
      <c r="AS2" s="310"/>
      <c r="AT2" s="310"/>
      <c r="AU2" s="310"/>
      <c r="AV2" s="310"/>
      <c r="AW2" s="310"/>
      <c r="AX2" s="310"/>
      <c r="AY2" s="310"/>
      <c r="AZ2" s="311"/>
      <c r="BA2" s="301" t="s">
        <v>1787</v>
      </c>
      <c r="BB2" s="302"/>
      <c r="BC2" s="302"/>
      <c r="BD2" s="302"/>
      <c r="BE2" s="302"/>
      <c r="BF2" s="302"/>
      <c r="BG2" s="54">
        <v>3</v>
      </c>
      <c r="BH2" s="2"/>
      <c r="BI2" s="2"/>
      <c r="BJ2" s="55"/>
      <c r="BK2" s="309" t="str">
        <f>VLOOKUP($CA$2,Spielorte!$A$1:$C$6,3)</f>
        <v>Regensburg Super Bowl</v>
      </c>
      <c r="BL2" s="310"/>
      <c r="BM2" s="310"/>
      <c r="BN2" s="310"/>
      <c r="BO2" s="310"/>
      <c r="BP2" s="310"/>
      <c r="BQ2" s="310"/>
      <c r="BR2" s="310"/>
      <c r="BS2" s="310"/>
      <c r="BT2" s="311"/>
      <c r="BU2" s="301" t="s">
        <v>1787</v>
      </c>
      <c r="BV2" s="302"/>
      <c r="BW2" s="302"/>
      <c r="BX2" s="302"/>
      <c r="BY2" s="302"/>
      <c r="BZ2" s="302"/>
      <c r="CA2" s="54">
        <v>4</v>
      </c>
      <c r="CB2" s="2"/>
      <c r="CC2" s="2"/>
      <c r="CD2" s="55"/>
      <c r="CE2" s="309" t="str">
        <f>VLOOKUP($CU$2,Spielorte!$A$1:$C$6,3)</f>
        <v>Nürnberg West Bowling</v>
      </c>
      <c r="CF2" s="310"/>
      <c r="CG2" s="310"/>
      <c r="CH2" s="310"/>
      <c r="CI2" s="310"/>
      <c r="CJ2" s="310"/>
      <c r="CK2" s="310"/>
      <c r="CL2" s="310"/>
      <c r="CM2" s="310"/>
      <c r="CN2" s="311"/>
      <c r="CO2" s="301" t="s">
        <v>1787</v>
      </c>
      <c r="CP2" s="302"/>
      <c r="CQ2" s="302"/>
      <c r="CR2" s="302"/>
      <c r="CS2" s="302"/>
      <c r="CT2" s="302"/>
      <c r="CU2" s="54">
        <v>5</v>
      </c>
      <c r="CV2" s="2"/>
      <c r="CW2" s="2"/>
      <c r="CX2" s="55"/>
      <c r="CY2" s="309" t="str">
        <f>VLOOKUP($DO$2,Spielorte!$A$1:$C$6,3)</f>
        <v>Regensburg Super Bowl</v>
      </c>
      <c r="CZ2" s="310"/>
      <c r="DA2" s="310"/>
      <c r="DB2" s="310"/>
      <c r="DC2" s="310"/>
      <c r="DD2" s="310"/>
      <c r="DE2" s="310"/>
      <c r="DF2" s="310"/>
      <c r="DG2" s="310"/>
      <c r="DH2" s="311"/>
      <c r="DI2" s="301" t="s">
        <v>1787</v>
      </c>
      <c r="DJ2" s="302"/>
      <c r="DK2" s="302"/>
      <c r="DL2" s="302"/>
      <c r="DM2" s="302"/>
      <c r="DN2" s="302"/>
      <c r="DO2" s="54">
        <v>6</v>
      </c>
      <c r="DP2" s="2"/>
      <c r="DQ2" s="2"/>
      <c r="DR2" s="55"/>
    </row>
    <row r="3" spans="1:122" ht="12.75" customHeight="1" x14ac:dyDescent="0.2">
      <c r="C3" s="297" t="s">
        <v>9</v>
      </c>
      <c r="D3" s="298"/>
      <c r="E3" s="298"/>
      <c r="F3" s="298"/>
      <c r="G3" s="298"/>
      <c r="H3" s="298"/>
      <c r="I3" s="298"/>
      <c r="J3" s="298"/>
      <c r="K3" s="298"/>
      <c r="L3" s="299"/>
      <c r="M3" s="300" t="s">
        <v>10</v>
      </c>
      <c r="N3" s="298"/>
      <c r="O3" s="298"/>
      <c r="P3" s="298"/>
      <c r="Q3" s="298"/>
      <c r="R3" s="298"/>
      <c r="S3" s="298"/>
      <c r="T3" s="298"/>
      <c r="V3" s="56" t="s">
        <v>1788</v>
      </c>
      <c r="W3" s="297" t="s">
        <v>9</v>
      </c>
      <c r="X3" s="298"/>
      <c r="Y3" s="298"/>
      <c r="Z3" s="298"/>
      <c r="AA3" s="298"/>
      <c r="AB3" s="298"/>
      <c r="AC3" s="298"/>
      <c r="AD3" s="298"/>
      <c r="AE3" s="298"/>
      <c r="AF3" s="299"/>
      <c r="AG3" s="300" t="s">
        <v>10</v>
      </c>
      <c r="AH3" s="298"/>
      <c r="AI3" s="298"/>
      <c r="AJ3" s="298"/>
      <c r="AK3" s="298"/>
      <c r="AL3" s="298"/>
      <c r="AM3" s="298"/>
      <c r="AN3" s="298"/>
      <c r="AP3" s="56" t="s">
        <v>1788</v>
      </c>
      <c r="AQ3" s="297" t="s">
        <v>9</v>
      </c>
      <c r="AR3" s="298"/>
      <c r="AS3" s="298"/>
      <c r="AT3" s="298"/>
      <c r="AU3" s="298"/>
      <c r="AV3" s="298"/>
      <c r="AW3" s="298"/>
      <c r="AX3" s="298"/>
      <c r="AY3" s="298"/>
      <c r="AZ3" s="299"/>
      <c r="BA3" s="300" t="s">
        <v>10</v>
      </c>
      <c r="BB3" s="298"/>
      <c r="BC3" s="298"/>
      <c r="BD3" s="298"/>
      <c r="BE3" s="298"/>
      <c r="BF3" s="298"/>
      <c r="BG3" s="298"/>
      <c r="BH3" s="298"/>
      <c r="BJ3" s="56" t="s">
        <v>1788</v>
      </c>
      <c r="BK3" s="297" t="s">
        <v>9</v>
      </c>
      <c r="BL3" s="298"/>
      <c r="BM3" s="298"/>
      <c r="BN3" s="298"/>
      <c r="BO3" s="298"/>
      <c r="BP3" s="298"/>
      <c r="BQ3" s="298"/>
      <c r="BR3" s="298"/>
      <c r="BS3" s="298"/>
      <c r="BT3" s="299"/>
      <c r="BU3" s="300" t="s">
        <v>10</v>
      </c>
      <c r="BV3" s="298"/>
      <c r="BW3" s="298"/>
      <c r="BX3" s="298"/>
      <c r="BY3" s="298"/>
      <c r="BZ3" s="298"/>
      <c r="CA3" s="298"/>
      <c r="CB3" s="298"/>
      <c r="CD3" s="56" t="s">
        <v>1788</v>
      </c>
      <c r="CE3" s="297" t="s">
        <v>9</v>
      </c>
      <c r="CF3" s="298"/>
      <c r="CG3" s="298"/>
      <c r="CH3" s="298"/>
      <c r="CI3" s="298"/>
      <c r="CJ3" s="298"/>
      <c r="CK3" s="298"/>
      <c r="CL3" s="298"/>
      <c r="CM3" s="298"/>
      <c r="CN3" s="299"/>
      <c r="CO3" s="300" t="s">
        <v>10</v>
      </c>
      <c r="CP3" s="298"/>
      <c r="CQ3" s="298"/>
      <c r="CR3" s="298"/>
      <c r="CS3" s="298"/>
      <c r="CT3" s="298"/>
      <c r="CU3" s="298"/>
      <c r="CV3" s="298"/>
      <c r="CX3" s="56" t="s">
        <v>1788</v>
      </c>
      <c r="CY3" s="297" t="s">
        <v>9</v>
      </c>
      <c r="CZ3" s="298"/>
      <c r="DA3" s="298"/>
      <c r="DB3" s="298"/>
      <c r="DC3" s="298"/>
      <c r="DD3" s="298"/>
      <c r="DE3" s="298"/>
      <c r="DF3" s="298"/>
      <c r="DG3" s="298"/>
      <c r="DH3" s="299"/>
      <c r="DI3" s="300" t="s">
        <v>10</v>
      </c>
      <c r="DJ3" s="298"/>
      <c r="DK3" s="298"/>
      <c r="DL3" s="298"/>
      <c r="DM3" s="298"/>
      <c r="DN3" s="298"/>
      <c r="DO3" s="298"/>
      <c r="DP3" s="298"/>
      <c r="DR3" s="56" t="s">
        <v>1788</v>
      </c>
    </row>
    <row r="4" spans="1:122" ht="12.75" customHeight="1" x14ac:dyDescent="0.2">
      <c r="B4" s="54"/>
      <c r="C4" s="57" t="s">
        <v>4</v>
      </c>
      <c r="D4" s="58" t="s">
        <v>5</v>
      </c>
      <c r="E4" s="58" t="s">
        <v>6</v>
      </c>
      <c r="F4" s="58" t="s">
        <v>7</v>
      </c>
      <c r="G4" s="58" t="s">
        <v>8</v>
      </c>
      <c r="H4" s="58"/>
      <c r="I4" s="58"/>
      <c r="J4" s="58"/>
      <c r="K4" s="58"/>
      <c r="M4" s="58" t="s">
        <v>4</v>
      </c>
      <c r="N4" s="58" t="s">
        <v>5</v>
      </c>
      <c r="O4" s="58" t="s">
        <v>6</v>
      </c>
      <c r="P4" s="58" t="s">
        <v>7</v>
      </c>
      <c r="Q4" s="58" t="s">
        <v>8</v>
      </c>
      <c r="R4" s="58"/>
      <c r="S4" s="58"/>
      <c r="T4" s="58"/>
      <c r="U4" s="58"/>
      <c r="V4" s="83">
        <f>+Spielzettel1!$AC$2</f>
        <v>1</v>
      </c>
      <c r="W4" s="57" t="s">
        <v>4</v>
      </c>
      <c r="X4" s="58" t="s">
        <v>5</v>
      </c>
      <c r="Y4" s="58" t="s">
        <v>6</v>
      </c>
      <c r="Z4" s="58" t="s">
        <v>7</v>
      </c>
      <c r="AA4" s="58" t="s">
        <v>8</v>
      </c>
      <c r="AB4" s="58"/>
      <c r="AC4" s="58"/>
      <c r="AD4" s="58"/>
      <c r="AE4" s="58"/>
      <c r="AG4" s="58" t="s">
        <v>4</v>
      </c>
      <c r="AH4" s="58" t="s">
        <v>5</v>
      </c>
      <c r="AI4" s="58" t="s">
        <v>6</v>
      </c>
      <c r="AJ4" s="58" t="s">
        <v>7</v>
      </c>
      <c r="AK4" s="58" t="s">
        <v>8</v>
      </c>
      <c r="AL4" s="58" t="s">
        <v>1780</v>
      </c>
      <c r="AM4" s="58" t="s">
        <v>1781</v>
      </c>
      <c r="AN4" s="58" t="s">
        <v>1782</v>
      </c>
      <c r="AO4" s="58" t="s">
        <v>1783</v>
      </c>
      <c r="AP4" s="83">
        <f>+Spielzettel2!$AC$2</f>
        <v>7</v>
      </c>
      <c r="AQ4" s="57" t="s">
        <v>4</v>
      </c>
      <c r="AR4" s="58" t="s">
        <v>5</v>
      </c>
      <c r="AS4" s="58" t="s">
        <v>6</v>
      </c>
      <c r="AT4" s="58" t="s">
        <v>7</v>
      </c>
      <c r="AU4" s="58" t="s">
        <v>8</v>
      </c>
      <c r="AV4" s="58"/>
      <c r="AW4" s="58"/>
      <c r="AX4" s="58"/>
      <c r="AY4" s="58"/>
      <c r="BA4" s="58" t="s">
        <v>4</v>
      </c>
      <c r="BB4" s="58" t="s">
        <v>5</v>
      </c>
      <c r="BC4" s="58" t="s">
        <v>6</v>
      </c>
      <c r="BD4" s="58" t="s">
        <v>7</v>
      </c>
      <c r="BE4" s="58" t="s">
        <v>8</v>
      </c>
      <c r="BF4" s="58"/>
      <c r="BG4" s="58"/>
      <c r="BH4" s="58"/>
      <c r="BI4" s="58"/>
      <c r="BJ4" s="83">
        <f>+Spielzettel3!$AC$2</f>
        <v>11</v>
      </c>
      <c r="BK4" s="57" t="s">
        <v>4</v>
      </c>
      <c r="BL4" s="58" t="s">
        <v>5</v>
      </c>
      <c r="BM4" s="58" t="s">
        <v>6</v>
      </c>
      <c r="BN4" s="58" t="s">
        <v>7</v>
      </c>
      <c r="BO4" s="58" t="s">
        <v>8</v>
      </c>
      <c r="BP4" s="58" t="s">
        <v>1780</v>
      </c>
      <c r="BQ4" s="58" t="s">
        <v>1781</v>
      </c>
      <c r="BR4" s="58" t="s">
        <v>1782</v>
      </c>
      <c r="BS4" s="58" t="s">
        <v>1783</v>
      </c>
      <c r="BU4" s="58" t="s">
        <v>4</v>
      </c>
      <c r="BV4" s="58" t="s">
        <v>5</v>
      </c>
      <c r="BW4" s="58" t="s">
        <v>6</v>
      </c>
      <c r="BX4" s="58" t="s">
        <v>7</v>
      </c>
      <c r="BY4" s="58" t="s">
        <v>8</v>
      </c>
      <c r="BZ4" s="58" t="s">
        <v>1780</v>
      </c>
      <c r="CA4" s="58" t="s">
        <v>1781</v>
      </c>
      <c r="CB4" s="58" t="s">
        <v>1782</v>
      </c>
      <c r="CC4" s="58" t="s">
        <v>1783</v>
      </c>
      <c r="CD4" s="83">
        <f>+Spielzettel4!$AC$2</f>
        <v>11</v>
      </c>
      <c r="CE4" s="57" t="s">
        <v>4</v>
      </c>
      <c r="CF4" s="58" t="s">
        <v>5</v>
      </c>
      <c r="CG4" s="58" t="s">
        <v>6</v>
      </c>
      <c r="CH4" s="58" t="s">
        <v>7</v>
      </c>
      <c r="CI4" s="58" t="s">
        <v>8</v>
      </c>
      <c r="CJ4" s="58" t="s">
        <v>1780</v>
      </c>
      <c r="CK4" s="58" t="s">
        <v>1781</v>
      </c>
      <c r="CL4" s="58" t="s">
        <v>1782</v>
      </c>
      <c r="CM4" s="58" t="s">
        <v>1783</v>
      </c>
      <c r="CO4" s="58" t="s">
        <v>4</v>
      </c>
      <c r="CP4" s="58" t="s">
        <v>5</v>
      </c>
      <c r="CQ4" s="58" t="s">
        <v>6</v>
      </c>
      <c r="CR4" s="58" t="s">
        <v>7</v>
      </c>
      <c r="CS4" s="58" t="s">
        <v>8</v>
      </c>
      <c r="CT4" s="58" t="s">
        <v>1780</v>
      </c>
      <c r="CU4" s="58" t="s">
        <v>1781</v>
      </c>
      <c r="CV4" s="58" t="s">
        <v>1782</v>
      </c>
      <c r="CW4" s="58" t="s">
        <v>1783</v>
      </c>
      <c r="CX4" s="83">
        <f>+Spielzettel5!$AC$2</f>
        <v>3</v>
      </c>
      <c r="CY4" s="57" t="s">
        <v>4</v>
      </c>
      <c r="CZ4" s="58" t="s">
        <v>5</v>
      </c>
      <c r="DA4" s="58" t="s">
        <v>6</v>
      </c>
      <c r="DB4" s="58" t="s">
        <v>7</v>
      </c>
      <c r="DC4" s="58" t="s">
        <v>8</v>
      </c>
      <c r="DD4" s="58" t="s">
        <v>1780</v>
      </c>
      <c r="DE4" s="58" t="s">
        <v>1781</v>
      </c>
      <c r="DF4" s="58" t="s">
        <v>1782</v>
      </c>
      <c r="DG4" s="58" t="s">
        <v>1783</v>
      </c>
      <c r="DI4" s="58" t="s">
        <v>4</v>
      </c>
      <c r="DJ4" s="58" t="s">
        <v>5</v>
      </c>
      <c r="DK4" s="58" t="s">
        <v>6</v>
      </c>
      <c r="DL4" s="58" t="s">
        <v>7</v>
      </c>
      <c r="DM4" s="58" t="s">
        <v>8</v>
      </c>
      <c r="DN4" s="58" t="s">
        <v>1780</v>
      </c>
      <c r="DO4" s="58" t="s">
        <v>1781</v>
      </c>
      <c r="DP4" s="58" t="s">
        <v>1782</v>
      </c>
      <c r="DQ4" s="58" t="s">
        <v>1783</v>
      </c>
      <c r="DR4" s="83">
        <f>+Spielzettel6!$AC$2</f>
        <v>11</v>
      </c>
    </row>
    <row r="5" spans="1:122" x14ac:dyDescent="0.2">
      <c r="A5">
        <v>1</v>
      </c>
      <c r="B5" s="276" t="s">
        <v>2528</v>
      </c>
      <c r="C5" s="59">
        <v>2</v>
      </c>
      <c r="D5" s="6">
        <v>6</v>
      </c>
      <c r="E5" s="6">
        <v>3</v>
      </c>
      <c r="F5" s="6">
        <v>4</v>
      </c>
      <c r="G5" s="6">
        <v>5</v>
      </c>
      <c r="H5" s="6"/>
      <c r="I5" s="6"/>
      <c r="J5" s="6"/>
      <c r="K5" s="6"/>
      <c r="L5" s="53">
        <f t="shared" ref="L5:L10" si="0">SUM(C5:K5)</f>
        <v>20</v>
      </c>
      <c r="M5">
        <f t="shared" ref="M5:Q10" si="1">M12+$V$4-1</f>
        <v>1</v>
      </c>
      <c r="N5">
        <f t="shared" si="1"/>
        <v>3</v>
      </c>
      <c r="O5">
        <f t="shared" si="1"/>
        <v>2</v>
      </c>
      <c r="P5">
        <f t="shared" si="1"/>
        <v>4</v>
      </c>
      <c r="Q5">
        <f t="shared" si="1"/>
        <v>1</v>
      </c>
      <c r="V5" s="60">
        <f t="shared" ref="V5:V10" si="2">SUM(M5:U5)</f>
        <v>11</v>
      </c>
      <c r="W5" s="59">
        <v>6</v>
      </c>
      <c r="X5" s="6">
        <v>2</v>
      </c>
      <c r="Y5" s="6">
        <v>4</v>
      </c>
      <c r="Z5" s="6">
        <v>5</v>
      </c>
      <c r="AA5" s="6">
        <v>3</v>
      </c>
      <c r="AB5" s="6"/>
      <c r="AC5" s="6"/>
      <c r="AD5" s="6"/>
      <c r="AE5" s="6"/>
      <c r="AF5" s="53">
        <f t="shared" ref="AF5:AF10" si="3">SUM(W5:AE5)</f>
        <v>20</v>
      </c>
      <c r="AG5">
        <f t="shared" ref="AG5:AK10" si="4">AG12+$AP$4-1</f>
        <v>11</v>
      </c>
      <c r="AH5">
        <f t="shared" si="4"/>
        <v>9</v>
      </c>
      <c r="AI5">
        <f t="shared" si="4"/>
        <v>7</v>
      </c>
      <c r="AJ5">
        <f t="shared" si="4"/>
        <v>12</v>
      </c>
      <c r="AK5">
        <f t="shared" si="4"/>
        <v>10</v>
      </c>
      <c r="AP5" s="60">
        <f t="shared" ref="AP5:AP10" si="5">SUM(AG5:AO5)</f>
        <v>49</v>
      </c>
      <c r="AQ5" s="59">
        <v>4</v>
      </c>
      <c r="AR5" s="6">
        <v>6</v>
      </c>
      <c r="AS5" s="6">
        <v>2</v>
      </c>
      <c r="AT5" s="6">
        <v>5</v>
      </c>
      <c r="AU5" s="6">
        <v>3</v>
      </c>
      <c r="AV5" s="6"/>
      <c r="AW5" s="6"/>
      <c r="AX5" s="6"/>
      <c r="AY5" s="6"/>
      <c r="AZ5" s="53">
        <f t="shared" ref="AZ5:AZ10" si="6">SUM(AQ5:AY5)</f>
        <v>20</v>
      </c>
      <c r="BA5">
        <f t="shared" ref="BA5:BE10" si="7">BA12+$BJ$4-1</f>
        <v>11</v>
      </c>
      <c r="BB5">
        <f t="shared" si="7"/>
        <v>13</v>
      </c>
      <c r="BC5">
        <f t="shared" si="7"/>
        <v>15</v>
      </c>
      <c r="BD5">
        <f t="shared" si="7"/>
        <v>14</v>
      </c>
      <c r="BE5">
        <f t="shared" si="7"/>
        <v>12</v>
      </c>
      <c r="BJ5" s="60">
        <f t="shared" ref="BJ5:BJ10" si="8">SUM(BA5:BI5)</f>
        <v>65</v>
      </c>
      <c r="BK5" s="59">
        <v>3</v>
      </c>
      <c r="BL5" s="6">
        <v>5</v>
      </c>
      <c r="BM5" s="6">
        <v>4</v>
      </c>
      <c r="BN5" s="6">
        <v>2</v>
      </c>
      <c r="BO5" s="6">
        <v>6</v>
      </c>
      <c r="BP5" s="6"/>
      <c r="BQ5" s="6"/>
      <c r="BR5" s="6"/>
      <c r="BS5" s="6"/>
      <c r="BT5" s="53">
        <f t="shared" ref="BT5:BT10" si="9">SUM(BK5:BS5)</f>
        <v>20</v>
      </c>
      <c r="BU5">
        <f t="shared" ref="BU5:BY10" si="10">BU12+$CD$4-1</f>
        <v>16</v>
      </c>
      <c r="BV5">
        <f t="shared" si="10"/>
        <v>12</v>
      </c>
      <c r="BW5">
        <f t="shared" si="10"/>
        <v>13</v>
      </c>
      <c r="BX5">
        <f t="shared" si="10"/>
        <v>15</v>
      </c>
      <c r="BY5">
        <f t="shared" si="10"/>
        <v>11</v>
      </c>
      <c r="CD5" s="60">
        <f t="shared" ref="CD5:CD10" si="11">SUM(BU5:CC5)</f>
        <v>67</v>
      </c>
      <c r="CE5" s="59">
        <v>5</v>
      </c>
      <c r="CF5" s="6">
        <v>4</v>
      </c>
      <c r="CG5" s="6">
        <v>3</v>
      </c>
      <c r="CH5" s="6">
        <v>6</v>
      </c>
      <c r="CI5" s="6">
        <v>2</v>
      </c>
      <c r="CJ5" s="6"/>
      <c r="CK5" s="6"/>
      <c r="CL5" s="6"/>
      <c r="CM5" s="6"/>
      <c r="CN5" s="53">
        <f t="shared" ref="CN5:CN10" si="12">SUM(CE5:CM5)</f>
        <v>20</v>
      </c>
      <c r="CO5">
        <f>CO12+$CX$4-1</f>
        <v>5</v>
      </c>
      <c r="CP5">
        <f>CP12+$CX$4-1</f>
        <v>8</v>
      </c>
      <c r="CQ5">
        <f>CQ12+$CX$4-1</f>
        <v>6</v>
      </c>
      <c r="CR5">
        <f>CR12+$CX$4-1</f>
        <v>7</v>
      </c>
      <c r="CS5">
        <f>CS12+$CX$4-1</f>
        <v>5</v>
      </c>
      <c r="CX5" s="60">
        <f t="shared" ref="CX5:CX10" si="13">SUM(CO5:CW5)</f>
        <v>31</v>
      </c>
      <c r="CY5" s="59">
        <v>2</v>
      </c>
      <c r="CZ5" s="6">
        <v>6</v>
      </c>
      <c r="DA5" s="6">
        <v>3</v>
      </c>
      <c r="DB5" s="6">
        <v>4</v>
      </c>
      <c r="DC5" s="6">
        <v>5</v>
      </c>
      <c r="DD5" s="6"/>
      <c r="DE5" s="6"/>
      <c r="DF5" s="6"/>
      <c r="DG5" s="6"/>
      <c r="DH5" s="53">
        <f t="shared" ref="DH5:DH10" si="14">SUM(CY5:DG5)</f>
        <v>20</v>
      </c>
      <c r="DI5">
        <f t="shared" ref="DI5:DM10" si="15">DI12+$DR$4-1</f>
        <v>15</v>
      </c>
      <c r="DJ5">
        <f t="shared" si="15"/>
        <v>11</v>
      </c>
      <c r="DK5">
        <f t="shared" si="15"/>
        <v>16</v>
      </c>
      <c r="DL5">
        <f t="shared" si="15"/>
        <v>12</v>
      </c>
      <c r="DM5">
        <f t="shared" si="15"/>
        <v>15</v>
      </c>
      <c r="DR5" s="60">
        <f t="shared" ref="DR5:DR10" si="16">SUM(DI5:DQ5)</f>
        <v>69</v>
      </c>
    </row>
    <row r="6" spans="1:122" x14ac:dyDescent="0.2">
      <c r="A6">
        <v>2</v>
      </c>
      <c r="B6" s="276" t="s">
        <v>2530</v>
      </c>
      <c r="C6" s="59">
        <v>1</v>
      </c>
      <c r="D6" s="6">
        <v>3</v>
      </c>
      <c r="E6" s="6">
        <v>5</v>
      </c>
      <c r="F6" s="6">
        <v>6</v>
      </c>
      <c r="G6" s="6">
        <v>4</v>
      </c>
      <c r="H6" s="6"/>
      <c r="I6" s="6"/>
      <c r="J6" s="6"/>
      <c r="K6" s="6"/>
      <c r="L6" s="53">
        <f t="shared" si="0"/>
        <v>19</v>
      </c>
      <c r="M6">
        <f t="shared" si="1"/>
        <v>2</v>
      </c>
      <c r="N6">
        <f t="shared" si="1"/>
        <v>5</v>
      </c>
      <c r="O6">
        <f t="shared" si="1"/>
        <v>3</v>
      </c>
      <c r="P6">
        <f t="shared" si="1"/>
        <v>1</v>
      </c>
      <c r="Q6">
        <f t="shared" si="1"/>
        <v>6</v>
      </c>
      <c r="V6" s="60">
        <f t="shared" si="2"/>
        <v>17</v>
      </c>
      <c r="W6" s="59">
        <v>3</v>
      </c>
      <c r="X6" s="6">
        <v>1</v>
      </c>
      <c r="Y6" s="6">
        <v>6</v>
      </c>
      <c r="Z6" s="6">
        <v>4</v>
      </c>
      <c r="AA6" s="6">
        <v>5</v>
      </c>
      <c r="AB6" s="6"/>
      <c r="AC6" s="6"/>
      <c r="AD6" s="6"/>
      <c r="AE6" s="6"/>
      <c r="AF6" s="53">
        <f t="shared" si="3"/>
        <v>19</v>
      </c>
      <c r="AG6">
        <f t="shared" si="4"/>
        <v>8</v>
      </c>
      <c r="AH6">
        <f t="shared" si="4"/>
        <v>10</v>
      </c>
      <c r="AI6">
        <f t="shared" si="4"/>
        <v>12</v>
      </c>
      <c r="AJ6">
        <f t="shared" si="4"/>
        <v>9</v>
      </c>
      <c r="AK6">
        <f t="shared" si="4"/>
        <v>7</v>
      </c>
      <c r="AP6" s="60">
        <f t="shared" si="5"/>
        <v>46</v>
      </c>
      <c r="AQ6" s="59">
        <v>6</v>
      </c>
      <c r="AR6" s="6">
        <v>3</v>
      </c>
      <c r="AS6" s="6">
        <v>1</v>
      </c>
      <c r="AT6" s="6">
        <v>4</v>
      </c>
      <c r="AU6" s="6">
        <v>5</v>
      </c>
      <c r="AV6" s="6"/>
      <c r="AW6" s="6"/>
      <c r="AX6" s="6"/>
      <c r="AY6" s="6"/>
      <c r="AZ6" s="53">
        <f t="shared" si="6"/>
        <v>19</v>
      </c>
      <c r="BA6">
        <f t="shared" si="7"/>
        <v>15</v>
      </c>
      <c r="BB6">
        <f t="shared" si="7"/>
        <v>12</v>
      </c>
      <c r="BC6">
        <f t="shared" si="7"/>
        <v>16</v>
      </c>
      <c r="BD6">
        <f t="shared" si="7"/>
        <v>11</v>
      </c>
      <c r="BE6">
        <f t="shared" si="7"/>
        <v>15</v>
      </c>
      <c r="BJ6" s="60">
        <f t="shared" si="8"/>
        <v>69</v>
      </c>
      <c r="BK6" s="59">
        <v>5</v>
      </c>
      <c r="BL6" s="6">
        <v>4</v>
      </c>
      <c r="BM6" s="6">
        <v>6</v>
      </c>
      <c r="BN6" s="6">
        <v>1</v>
      </c>
      <c r="BO6" s="6">
        <v>3</v>
      </c>
      <c r="BP6" s="6"/>
      <c r="BQ6" s="6"/>
      <c r="BR6" s="6"/>
      <c r="BS6" s="6"/>
      <c r="BT6" s="53">
        <f t="shared" si="9"/>
        <v>19</v>
      </c>
      <c r="BU6">
        <f t="shared" si="10"/>
        <v>13</v>
      </c>
      <c r="BV6">
        <f t="shared" si="10"/>
        <v>15</v>
      </c>
      <c r="BW6">
        <f t="shared" si="10"/>
        <v>12</v>
      </c>
      <c r="BX6">
        <f t="shared" si="10"/>
        <v>16</v>
      </c>
      <c r="BY6">
        <f t="shared" si="10"/>
        <v>14</v>
      </c>
      <c r="CD6" s="60">
        <f t="shared" si="11"/>
        <v>70</v>
      </c>
      <c r="CE6" s="59">
        <v>4</v>
      </c>
      <c r="CF6" s="6">
        <v>6</v>
      </c>
      <c r="CG6" s="6">
        <v>5</v>
      </c>
      <c r="CH6" s="6">
        <v>3</v>
      </c>
      <c r="CI6" s="6">
        <v>1</v>
      </c>
      <c r="CJ6" s="6"/>
      <c r="CK6" s="6"/>
      <c r="CL6" s="6"/>
      <c r="CM6" s="6"/>
      <c r="CN6" s="53">
        <f t="shared" si="12"/>
        <v>19</v>
      </c>
      <c r="CO6">
        <f t="shared" ref="CO6:CS10" si="17">CO13+$CX$4-1</f>
        <v>4</v>
      </c>
      <c r="CP6">
        <f t="shared" si="17"/>
        <v>5</v>
      </c>
      <c r="CQ6">
        <f t="shared" si="17"/>
        <v>7</v>
      </c>
      <c r="CR6">
        <f t="shared" si="17"/>
        <v>3</v>
      </c>
      <c r="CS6">
        <f t="shared" si="17"/>
        <v>6</v>
      </c>
      <c r="CX6" s="60">
        <f t="shared" si="13"/>
        <v>25</v>
      </c>
      <c r="CY6" s="59">
        <v>1</v>
      </c>
      <c r="CZ6" s="6">
        <v>3</v>
      </c>
      <c r="DA6" s="6">
        <v>5</v>
      </c>
      <c r="DB6" s="6">
        <v>6</v>
      </c>
      <c r="DC6" s="6">
        <v>4</v>
      </c>
      <c r="DD6" s="6"/>
      <c r="DE6" s="6"/>
      <c r="DF6" s="6"/>
      <c r="DG6" s="6"/>
      <c r="DH6" s="53">
        <f t="shared" si="14"/>
        <v>19</v>
      </c>
      <c r="DI6">
        <f t="shared" si="15"/>
        <v>16</v>
      </c>
      <c r="DJ6">
        <f t="shared" si="15"/>
        <v>13</v>
      </c>
      <c r="DK6">
        <f t="shared" si="15"/>
        <v>11</v>
      </c>
      <c r="DL6">
        <f t="shared" si="15"/>
        <v>15</v>
      </c>
      <c r="DM6">
        <f t="shared" si="15"/>
        <v>14</v>
      </c>
      <c r="DR6" s="60">
        <f t="shared" si="16"/>
        <v>69</v>
      </c>
    </row>
    <row r="7" spans="1:122" x14ac:dyDescent="0.2">
      <c r="A7">
        <v>3</v>
      </c>
      <c r="B7" s="276" t="s">
        <v>2531</v>
      </c>
      <c r="C7" s="59">
        <v>4</v>
      </c>
      <c r="D7" s="6">
        <v>2</v>
      </c>
      <c r="E7" s="6">
        <v>1</v>
      </c>
      <c r="F7" s="6">
        <v>5</v>
      </c>
      <c r="G7" s="6">
        <v>6</v>
      </c>
      <c r="H7" s="6"/>
      <c r="I7" s="6"/>
      <c r="J7" s="6"/>
      <c r="K7" s="6"/>
      <c r="L7" s="53">
        <f t="shared" si="0"/>
        <v>18</v>
      </c>
      <c r="M7">
        <f t="shared" si="1"/>
        <v>3</v>
      </c>
      <c r="N7">
        <f t="shared" si="1"/>
        <v>6</v>
      </c>
      <c r="O7">
        <f t="shared" si="1"/>
        <v>1</v>
      </c>
      <c r="P7">
        <f t="shared" si="1"/>
        <v>5</v>
      </c>
      <c r="Q7">
        <f t="shared" si="1"/>
        <v>4</v>
      </c>
      <c r="V7" s="60">
        <f t="shared" si="2"/>
        <v>19</v>
      </c>
      <c r="W7" s="59">
        <v>2</v>
      </c>
      <c r="X7" s="6">
        <v>4</v>
      </c>
      <c r="Y7" s="6">
        <v>5</v>
      </c>
      <c r="Z7" s="6">
        <v>6</v>
      </c>
      <c r="AA7" s="6">
        <v>1</v>
      </c>
      <c r="AB7" s="6"/>
      <c r="AC7" s="6"/>
      <c r="AD7" s="6"/>
      <c r="AE7" s="6"/>
      <c r="AF7" s="53">
        <f t="shared" si="3"/>
        <v>18</v>
      </c>
      <c r="AG7">
        <f t="shared" si="4"/>
        <v>7</v>
      </c>
      <c r="AH7">
        <f t="shared" si="4"/>
        <v>11</v>
      </c>
      <c r="AI7">
        <f t="shared" si="4"/>
        <v>10</v>
      </c>
      <c r="AJ7">
        <f t="shared" si="4"/>
        <v>8</v>
      </c>
      <c r="AK7">
        <f t="shared" si="4"/>
        <v>9</v>
      </c>
      <c r="AP7" s="60">
        <f t="shared" si="5"/>
        <v>45</v>
      </c>
      <c r="AQ7" s="59">
        <v>5</v>
      </c>
      <c r="AR7" s="6">
        <v>2</v>
      </c>
      <c r="AS7" s="6">
        <v>4</v>
      </c>
      <c r="AT7" s="6">
        <v>6</v>
      </c>
      <c r="AU7" s="6">
        <v>1</v>
      </c>
      <c r="AV7" s="6"/>
      <c r="AW7" s="6"/>
      <c r="AX7" s="6"/>
      <c r="AY7" s="6"/>
      <c r="AZ7" s="53">
        <f t="shared" si="6"/>
        <v>18</v>
      </c>
      <c r="BA7">
        <f t="shared" si="7"/>
        <v>14</v>
      </c>
      <c r="BB7">
        <f t="shared" si="7"/>
        <v>11</v>
      </c>
      <c r="BC7">
        <f t="shared" si="7"/>
        <v>13</v>
      </c>
      <c r="BD7">
        <f t="shared" si="7"/>
        <v>16</v>
      </c>
      <c r="BE7">
        <f t="shared" si="7"/>
        <v>11</v>
      </c>
      <c r="BJ7" s="60">
        <f t="shared" si="8"/>
        <v>65</v>
      </c>
      <c r="BK7" s="59">
        <v>1</v>
      </c>
      <c r="BL7" s="6">
        <v>6</v>
      </c>
      <c r="BM7" s="6">
        <v>5</v>
      </c>
      <c r="BN7" s="6">
        <v>4</v>
      </c>
      <c r="BO7" s="6">
        <v>2</v>
      </c>
      <c r="BP7" s="6"/>
      <c r="BQ7" s="6"/>
      <c r="BR7" s="6"/>
      <c r="BS7" s="6"/>
      <c r="BT7" s="53">
        <f t="shared" si="9"/>
        <v>18</v>
      </c>
      <c r="BU7">
        <f t="shared" si="10"/>
        <v>15</v>
      </c>
      <c r="BV7">
        <f t="shared" si="10"/>
        <v>14</v>
      </c>
      <c r="BW7">
        <f t="shared" si="10"/>
        <v>16</v>
      </c>
      <c r="BX7">
        <f t="shared" si="10"/>
        <v>11</v>
      </c>
      <c r="BY7">
        <f t="shared" si="10"/>
        <v>13</v>
      </c>
      <c r="CD7" s="60">
        <f t="shared" si="11"/>
        <v>69</v>
      </c>
      <c r="CE7" s="59">
        <v>6</v>
      </c>
      <c r="CF7" s="6">
        <v>5</v>
      </c>
      <c r="CG7" s="6">
        <v>1</v>
      </c>
      <c r="CH7" s="6">
        <v>2</v>
      </c>
      <c r="CI7" s="6">
        <v>4</v>
      </c>
      <c r="CJ7" s="6"/>
      <c r="CK7" s="6"/>
      <c r="CL7" s="6"/>
      <c r="CM7" s="6"/>
      <c r="CN7" s="53">
        <f t="shared" si="12"/>
        <v>18</v>
      </c>
      <c r="CO7">
        <f t="shared" si="17"/>
        <v>8</v>
      </c>
      <c r="CP7">
        <f t="shared" si="17"/>
        <v>3</v>
      </c>
      <c r="CQ7">
        <f t="shared" si="17"/>
        <v>5</v>
      </c>
      <c r="CR7">
        <f t="shared" si="17"/>
        <v>4</v>
      </c>
      <c r="CS7">
        <f t="shared" si="17"/>
        <v>7</v>
      </c>
      <c r="CX7" s="60">
        <f t="shared" si="13"/>
        <v>27</v>
      </c>
      <c r="CY7" s="59">
        <v>4</v>
      </c>
      <c r="CZ7" s="6">
        <v>2</v>
      </c>
      <c r="DA7" s="6">
        <v>1</v>
      </c>
      <c r="DB7" s="6">
        <v>5</v>
      </c>
      <c r="DC7" s="6">
        <v>6</v>
      </c>
      <c r="DD7" s="6"/>
      <c r="DE7" s="6"/>
      <c r="DF7" s="6"/>
      <c r="DG7" s="6"/>
      <c r="DH7" s="53">
        <f t="shared" si="14"/>
        <v>18</v>
      </c>
      <c r="DI7">
        <f t="shared" si="15"/>
        <v>11</v>
      </c>
      <c r="DJ7">
        <f t="shared" si="15"/>
        <v>14</v>
      </c>
      <c r="DK7">
        <f t="shared" si="15"/>
        <v>15</v>
      </c>
      <c r="DL7">
        <f t="shared" si="15"/>
        <v>13</v>
      </c>
      <c r="DM7">
        <f t="shared" si="15"/>
        <v>12</v>
      </c>
      <c r="DR7" s="60">
        <f t="shared" si="16"/>
        <v>65</v>
      </c>
    </row>
    <row r="8" spans="1:122" x14ac:dyDescent="0.2">
      <c r="A8">
        <v>4</v>
      </c>
      <c r="B8" s="276" t="s">
        <v>2532</v>
      </c>
      <c r="C8" s="59">
        <v>3</v>
      </c>
      <c r="D8" s="6">
        <v>5</v>
      </c>
      <c r="E8" s="6">
        <v>6</v>
      </c>
      <c r="F8" s="6">
        <v>1</v>
      </c>
      <c r="G8" s="6">
        <v>2</v>
      </c>
      <c r="H8" s="6"/>
      <c r="I8" s="6"/>
      <c r="J8" s="6"/>
      <c r="K8" s="6"/>
      <c r="L8" s="53">
        <f t="shared" si="0"/>
        <v>17</v>
      </c>
      <c r="M8">
        <f t="shared" si="1"/>
        <v>4</v>
      </c>
      <c r="N8">
        <f t="shared" si="1"/>
        <v>2</v>
      </c>
      <c r="O8">
        <f t="shared" si="1"/>
        <v>6</v>
      </c>
      <c r="P8">
        <f t="shared" si="1"/>
        <v>3</v>
      </c>
      <c r="Q8">
        <f t="shared" si="1"/>
        <v>5</v>
      </c>
      <c r="V8" s="60">
        <f t="shared" si="2"/>
        <v>20</v>
      </c>
      <c r="W8" s="59">
        <v>5</v>
      </c>
      <c r="X8" s="6">
        <v>3</v>
      </c>
      <c r="Y8" s="6">
        <v>1</v>
      </c>
      <c r="Z8" s="6">
        <v>2</v>
      </c>
      <c r="AA8" s="6">
        <v>6</v>
      </c>
      <c r="AB8" s="6"/>
      <c r="AC8" s="6"/>
      <c r="AD8" s="6"/>
      <c r="AE8" s="6"/>
      <c r="AF8" s="53">
        <f t="shared" si="3"/>
        <v>17</v>
      </c>
      <c r="AG8">
        <f t="shared" si="4"/>
        <v>9</v>
      </c>
      <c r="AH8">
        <f t="shared" si="4"/>
        <v>12</v>
      </c>
      <c r="AI8">
        <f t="shared" si="4"/>
        <v>8</v>
      </c>
      <c r="AJ8">
        <f t="shared" si="4"/>
        <v>10</v>
      </c>
      <c r="AK8">
        <f t="shared" si="4"/>
        <v>11</v>
      </c>
      <c r="AP8" s="60">
        <f t="shared" si="5"/>
        <v>50</v>
      </c>
      <c r="AQ8" s="59">
        <v>1</v>
      </c>
      <c r="AR8" s="6">
        <v>5</v>
      </c>
      <c r="AS8" s="6">
        <v>3</v>
      </c>
      <c r="AT8" s="6">
        <v>2</v>
      </c>
      <c r="AU8" s="6">
        <v>6</v>
      </c>
      <c r="AV8" s="6"/>
      <c r="AW8" s="6"/>
      <c r="AX8" s="6"/>
      <c r="AY8" s="6"/>
      <c r="AZ8" s="53">
        <f t="shared" si="6"/>
        <v>17</v>
      </c>
      <c r="BA8">
        <f t="shared" si="7"/>
        <v>12</v>
      </c>
      <c r="BB8">
        <f t="shared" si="7"/>
        <v>15</v>
      </c>
      <c r="BC8">
        <f t="shared" si="7"/>
        <v>14</v>
      </c>
      <c r="BD8">
        <f t="shared" si="7"/>
        <v>12</v>
      </c>
      <c r="BE8">
        <f t="shared" si="7"/>
        <v>13</v>
      </c>
      <c r="BJ8" s="60">
        <f t="shared" si="8"/>
        <v>66</v>
      </c>
      <c r="BK8" s="59">
        <v>6</v>
      </c>
      <c r="BL8" s="6">
        <v>2</v>
      </c>
      <c r="BM8" s="6">
        <v>1</v>
      </c>
      <c r="BN8" s="6">
        <v>3</v>
      </c>
      <c r="BO8" s="6">
        <v>5</v>
      </c>
      <c r="BP8" s="6"/>
      <c r="BQ8" s="6"/>
      <c r="BR8" s="6"/>
      <c r="BS8" s="6"/>
      <c r="BT8" s="53">
        <f t="shared" si="9"/>
        <v>17</v>
      </c>
      <c r="BU8">
        <f t="shared" si="10"/>
        <v>11</v>
      </c>
      <c r="BV8">
        <f t="shared" si="10"/>
        <v>16</v>
      </c>
      <c r="BW8">
        <f t="shared" si="10"/>
        <v>14</v>
      </c>
      <c r="BX8">
        <f t="shared" si="10"/>
        <v>12</v>
      </c>
      <c r="BY8">
        <f t="shared" si="10"/>
        <v>15</v>
      </c>
      <c r="CD8" s="60">
        <f t="shared" si="11"/>
        <v>68</v>
      </c>
      <c r="CE8" s="59">
        <v>2</v>
      </c>
      <c r="CF8" s="6">
        <v>1</v>
      </c>
      <c r="CG8" s="6">
        <v>6</v>
      </c>
      <c r="CH8" s="6">
        <v>5</v>
      </c>
      <c r="CI8" s="6">
        <v>3</v>
      </c>
      <c r="CJ8" s="6"/>
      <c r="CK8" s="6"/>
      <c r="CL8" s="6"/>
      <c r="CM8" s="6"/>
      <c r="CN8" s="53">
        <f t="shared" si="12"/>
        <v>17</v>
      </c>
      <c r="CO8">
        <f t="shared" si="17"/>
        <v>3</v>
      </c>
      <c r="CP8">
        <f t="shared" si="17"/>
        <v>7</v>
      </c>
      <c r="CQ8">
        <f t="shared" si="17"/>
        <v>4</v>
      </c>
      <c r="CR8">
        <f t="shared" si="17"/>
        <v>6</v>
      </c>
      <c r="CS8">
        <f t="shared" si="17"/>
        <v>8</v>
      </c>
      <c r="CX8" s="60">
        <f t="shared" si="13"/>
        <v>28</v>
      </c>
      <c r="CY8" s="59">
        <v>3</v>
      </c>
      <c r="CZ8" s="6">
        <v>5</v>
      </c>
      <c r="DA8" s="6">
        <v>6</v>
      </c>
      <c r="DB8" s="6">
        <v>1</v>
      </c>
      <c r="DC8" s="6">
        <v>2</v>
      </c>
      <c r="DD8" s="6"/>
      <c r="DE8" s="6"/>
      <c r="DF8" s="6"/>
      <c r="DG8" s="6"/>
      <c r="DH8" s="53">
        <f t="shared" si="14"/>
        <v>17</v>
      </c>
      <c r="DI8">
        <f t="shared" si="15"/>
        <v>12</v>
      </c>
      <c r="DJ8">
        <f t="shared" si="15"/>
        <v>16</v>
      </c>
      <c r="DK8">
        <f t="shared" si="15"/>
        <v>14</v>
      </c>
      <c r="DL8">
        <f t="shared" si="15"/>
        <v>11</v>
      </c>
      <c r="DM8">
        <f t="shared" si="15"/>
        <v>13</v>
      </c>
      <c r="DR8" s="60">
        <f t="shared" si="16"/>
        <v>66</v>
      </c>
    </row>
    <row r="9" spans="1:122" x14ac:dyDescent="0.2">
      <c r="A9">
        <v>5</v>
      </c>
      <c r="B9" s="276" t="s">
        <v>2529</v>
      </c>
      <c r="C9" s="59">
        <v>6</v>
      </c>
      <c r="D9" s="6">
        <v>4</v>
      </c>
      <c r="E9" s="6">
        <v>2</v>
      </c>
      <c r="F9" s="6">
        <v>3</v>
      </c>
      <c r="G9" s="6">
        <v>1</v>
      </c>
      <c r="H9" s="6"/>
      <c r="I9" s="6"/>
      <c r="J9" s="6"/>
      <c r="K9" s="6"/>
      <c r="L9" s="53">
        <f t="shared" si="0"/>
        <v>16</v>
      </c>
      <c r="M9">
        <f t="shared" si="1"/>
        <v>5</v>
      </c>
      <c r="N9">
        <f t="shared" si="1"/>
        <v>1</v>
      </c>
      <c r="O9">
        <f t="shared" si="1"/>
        <v>4</v>
      </c>
      <c r="P9">
        <f t="shared" si="1"/>
        <v>6</v>
      </c>
      <c r="Q9">
        <f t="shared" si="1"/>
        <v>2</v>
      </c>
      <c r="V9" s="60">
        <f t="shared" si="2"/>
        <v>18</v>
      </c>
      <c r="W9" s="59">
        <v>4</v>
      </c>
      <c r="X9" s="6">
        <v>6</v>
      </c>
      <c r="Y9" s="6">
        <v>3</v>
      </c>
      <c r="Z9" s="6">
        <v>1</v>
      </c>
      <c r="AA9" s="6">
        <v>2</v>
      </c>
      <c r="AB9" s="6"/>
      <c r="AC9" s="6"/>
      <c r="AD9" s="6"/>
      <c r="AE9" s="6"/>
      <c r="AF9" s="53">
        <f t="shared" si="3"/>
        <v>16</v>
      </c>
      <c r="AG9">
        <f t="shared" si="4"/>
        <v>10</v>
      </c>
      <c r="AH9">
        <f t="shared" si="4"/>
        <v>7</v>
      </c>
      <c r="AI9">
        <f t="shared" si="4"/>
        <v>9</v>
      </c>
      <c r="AJ9">
        <f t="shared" si="4"/>
        <v>11</v>
      </c>
      <c r="AK9">
        <f t="shared" si="4"/>
        <v>8</v>
      </c>
      <c r="AP9" s="60">
        <f t="shared" si="5"/>
        <v>45</v>
      </c>
      <c r="AQ9" s="59">
        <v>3</v>
      </c>
      <c r="AR9" s="6">
        <v>4</v>
      </c>
      <c r="AS9" s="6">
        <v>6</v>
      </c>
      <c r="AT9" s="6">
        <v>1</v>
      </c>
      <c r="AU9" s="6">
        <v>2</v>
      </c>
      <c r="AV9" s="6"/>
      <c r="AW9" s="6"/>
      <c r="AX9" s="6"/>
      <c r="AY9" s="6"/>
      <c r="AZ9" s="53">
        <f t="shared" si="6"/>
        <v>16</v>
      </c>
      <c r="BA9">
        <f t="shared" si="7"/>
        <v>13</v>
      </c>
      <c r="BB9">
        <f t="shared" si="7"/>
        <v>16</v>
      </c>
      <c r="BC9">
        <f t="shared" si="7"/>
        <v>11</v>
      </c>
      <c r="BD9">
        <f t="shared" si="7"/>
        <v>13</v>
      </c>
      <c r="BE9">
        <f t="shared" si="7"/>
        <v>16</v>
      </c>
      <c r="BJ9" s="60">
        <f t="shared" si="8"/>
        <v>69</v>
      </c>
      <c r="BK9" s="59">
        <v>2</v>
      </c>
      <c r="BL9" s="6">
        <v>1</v>
      </c>
      <c r="BM9" s="6">
        <v>3</v>
      </c>
      <c r="BN9" s="6">
        <v>6</v>
      </c>
      <c r="BO9" s="6">
        <v>4</v>
      </c>
      <c r="BP9" s="6"/>
      <c r="BQ9" s="6"/>
      <c r="BR9" s="6"/>
      <c r="BS9" s="6"/>
      <c r="BT9" s="53">
        <f t="shared" si="9"/>
        <v>16</v>
      </c>
      <c r="BU9">
        <f t="shared" si="10"/>
        <v>14</v>
      </c>
      <c r="BV9">
        <f t="shared" si="10"/>
        <v>11</v>
      </c>
      <c r="BW9">
        <f t="shared" si="10"/>
        <v>15</v>
      </c>
      <c r="BX9">
        <f t="shared" si="10"/>
        <v>13</v>
      </c>
      <c r="BY9">
        <f t="shared" si="10"/>
        <v>16</v>
      </c>
      <c r="CD9" s="60">
        <f t="shared" si="11"/>
        <v>69</v>
      </c>
      <c r="CE9" s="59">
        <v>1</v>
      </c>
      <c r="CF9" s="6">
        <v>3</v>
      </c>
      <c r="CG9" s="6">
        <v>2</v>
      </c>
      <c r="CH9" s="6">
        <v>4</v>
      </c>
      <c r="CI9" s="6">
        <v>6</v>
      </c>
      <c r="CJ9" s="6"/>
      <c r="CK9" s="6"/>
      <c r="CL9" s="6"/>
      <c r="CM9" s="6"/>
      <c r="CN9" s="53">
        <f t="shared" si="12"/>
        <v>16</v>
      </c>
      <c r="CO9">
        <f t="shared" si="17"/>
        <v>6</v>
      </c>
      <c r="CP9">
        <f t="shared" si="17"/>
        <v>4</v>
      </c>
      <c r="CQ9">
        <f t="shared" si="17"/>
        <v>8</v>
      </c>
      <c r="CR9">
        <f t="shared" si="17"/>
        <v>5</v>
      </c>
      <c r="CS9">
        <f t="shared" si="17"/>
        <v>3</v>
      </c>
      <c r="CX9" s="60">
        <f t="shared" si="13"/>
        <v>26</v>
      </c>
      <c r="CY9" s="59">
        <v>6</v>
      </c>
      <c r="CZ9" s="6">
        <v>4</v>
      </c>
      <c r="DA9" s="6">
        <v>2</v>
      </c>
      <c r="DB9" s="6">
        <v>3</v>
      </c>
      <c r="DC9" s="6">
        <v>1</v>
      </c>
      <c r="DD9" s="6"/>
      <c r="DE9" s="6"/>
      <c r="DF9" s="6"/>
      <c r="DG9" s="6"/>
      <c r="DH9" s="53">
        <f t="shared" si="14"/>
        <v>16</v>
      </c>
      <c r="DI9">
        <f t="shared" si="15"/>
        <v>13</v>
      </c>
      <c r="DJ9">
        <f t="shared" si="15"/>
        <v>15</v>
      </c>
      <c r="DK9">
        <f t="shared" si="15"/>
        <v>12</v>
      </c>
      <c r="DL9">
        <f t="shared" si="15"/>
        <v>14</v>
      </c>
      <c r="DM9">
        <f t="shared" si="15"/>
        <v>16</v>
      </c>
      <c r="DR9" s="60">
        <f t="shared" si="16"/>
        <v>70</v>
      </c>
    </row>
    <row r="10" spans="1:122" x14ac:dyDescent="0.2">
      <c r="A10">
        <v>6</v>
      </c>
      <c r="B10" s="276" t="s">
        <v>2533</v>
      </c>
      <c r="C10" s="59">
        <v>5</v>
      </c>
      <c r="D10" s="6">
        <v>1</v>
      </c>
      <c r="E10" s="6">
        <v>4</v>
      </c>
      <c r="F10" s="6">
        <v>2</v>
      </c>
      <c r="G10" s="6">
        <v>3</v>
      </c>
      <c r="H10" s="6"/>
      <c r="I10" s="6"/>
      <c r="J10" s="6"/>
      <c r="K10" s="6"/>
      <c r="L10" s="53">
        <f t="shared" si="0"/>
        <v>15</v>
      </c>
      <c r="M10">
        <f t="shared" si="1"/>
        <v>6</v>
      </c>
      <c r="N10">
        <f t="shared" si="1"/>
        <v>4</v>
      </c>
      <c r="O10">
        <f t="shared" si="1"/>
        <v>5</v>
      </c>
      <c r="P10">
        <f t="shared" si="1"/>
        <v>2</v>
      </c>
      <c r="Q10">
        <f t="shared" si="1"/>
        <v>3</v>
      </c>
      <c r="V10" s="60">
        <f t="shared" si="2"/>
        <v>20</v>
      </c>
      <c r="W10" s="59">
        <v>1</v>
      </c>
      <c r="X10" s="6">
        <v>5</v>
      </c>
      <c r="Y10" s="6">
        <v>2</v>
      </c>
      <c r="Z10" s="6">
        <v>3</v>
      </c>
      <c r="AA10" s="6">
        <v>4</v>
      </c>
      <c r="AB10" s="6"/>
      <c r="AC10" s="6"/>
      <c r="AD10" s="6"/>
      <c r="AE10" s="6"/>
      <c r="AF10" s="53">
        <f t="shared" si="3"/>
        <v>15</v>
      </c>
      <c r="AG10">
        <f t="shared" si="4"/>
        <v>12</v>
      </c>
      <c r="AH10">
        <f t="shared" si="4"/>
        <v>8</v>
      </c>
      <c r="AI10">
        <f t="shared" si="4"/>
        <v>11</v>
      </c>
      <c r="AJ10">
        <f t="shared" si="4"/>
        <v>7</v>
      </c>
      <c r="AK10">
        <f t="shared" si="4"/>
        <v>12</v>
      </c>
      <c r="AP10" s="60">
        <f t="shared" si="5"/>
        <v>50</v>
      </c>
      <c r="AQ10" s="59">
        <v>2</v>
      </c>
      <c r="AR10" s="6">
        <v>1</v>
      </c>
      <c r="AS10" s="6">
        <v>5</v>
      </c>
      <c r="AT10" s="6">
        <v>3</v>
      </c>
      <c r="AU10" s="6">
        <v>4</v>
      </c>
      <c r="AV10" s="6"/>
      <c r="AW10" s="6"/>
      <c r="AX10" s="6"/>
      <c r="AY10" s="6"/>
      <c r="AZ10" s="53">
        <f t="shared" si="6"/>
        <v>15</v>
      </c>
      <c r="BA10">
        <f t="shared" si="7"/>
        <v>16</v>
      </c>
      <c r="BB10">
        <f t="shared" si="7"/>
        <v>14</v>
      </c>
      <c r="BC10">
        <f t="shared" si="7"/>
        <v>12</v>
      </c>
      <c r="BD10">
        <f t="shared" si="7"/>
        <v>15</v>
      </c>
      <c r="BE10">
        <f t="shared" si="7"/>
        <v>14</v>
      </c>
      <c r="BJ10" s="60">
        <f t="shared" si="8"/>
        <v>71</v>
      </c>
      <c r="BK10" s="59">
        <v>4</v>
      </c>
      <c r="BL10" s="6">
        <v>3</v>
      </c>
      <c r="BM10" s="6">
        <v>2</v>
      </c>
      <c r="BN10" s="6">
        <v>5</v>
      </c>
      <c r="BO10" s="6">
        <v>1</v>
      </c>
      <c r="BP10" s="6"/>
      <c r="BQ10" s="6"/>
      <c r="BR10" s="6"/>
      <c r="BS10" s="6"/>
      <c r="BT10" s="53">
        <f t="shared" si="9"/>
        <v>15</v>
      </c>
      <c r="BU10">
        <f t="shared" si="10"/>
        <v>12</v>
      </c>
      <c r="BV10">
        <f t="shared" si="10"/>
        <v>13</v>
      </c>
      <c r="BW10">
        <f t="shared" si="10"/>
        <v>11</v>
      </c>
      <c r="BX10">
        <f t="shared" si="10"/>
        <v>14</v>
      </c>
      <c r="BY10">
        <f t="shared" si="10"/>
        <v>12</v>
      </c>
      <c r="CD10" s="60">
        <f t="shared" si="11"/>
        <v>62</v>
      </c>
      <c r="CE10" s="59">
        <v>3</v>
      </c>
      <c r="CF10" s="6">
        <v>2</v>
      </c>
      <c r="CG10" s="6">
        <v>4</v>
      </c>
      <c r="CH10" s="6">
        <v>1</v>
      </c>
      <c r="CI10" s="6">
        <v>5</v>
      </c>
      <c r="CJ10" s="6"/>
      <c r="CK10" s="6"/>
      <c r="CL10" s="6"/>
      <c r="CM10" s="6"/>
      <c r="CN10" s="53">
        <f t="shared" si="12"/>
        <v>15</v>
      </c>
      <c r="CO10">
        <f t="shared" si="17"/>
        <v>7</v>
      </c>
      <c r="CP10">
        <f t="shared" si="17"/>
        <v>6</v>
      </c>
      <c r="CQ10">
        <f t="shared" si="17"/>
        <v>3</v>
      </c>
      <c r="CR10">
        <f t="shared" si="17"/>
        <v>8</v>
      </c>
      <c r="CS10">
        <f t="shared" si="17"/>
        <v>4</v>
      </c>
      <c r="CX10" s="60">
        <f t="shared" si="13"/>
        <v>28</v>
      </c>
      <c r="CY10" s="59">
        <v>5</v>
      </c>
      <c r="CZ10" s="6">
        <v>1</v>
      </c>
      <c r="DA10" s="6">
        <v>4</v>
      </c>
      <c r="DB10" s="6">
        <v>2</v>
      </c>
      <c r="DC10" s="6">
        <v>3</v>
      </c>
      <c r="DD10" s="6"/>
      <c r="DE10" s="6"/>
      <c r="DF10" s="6"/>
      <c r="DG10" s="6"/>
      <c r="DH10" s="53">
        <f t="shared" si="14"/>
        <v>15</v>
      </c>
      <c r="DI10">
        <f t="shared" si="15"/>
        <v>14</v>
      </c>
      <c r="DJ10">
        <f t="shared" si="15"/>
        <v>12</v>
      </c>
      <c r="DK10">
        <f t="shared" si="15"/>
        <v>13</v>
      </c>
      <c r="DL10">
        <f t="shared" si="15"/>
        <v>16</v>
      </c>
      <c r="DM10">
        <f t="shared" si="15"/>
        <v>11</v>
      </c>
      <c r="DR10" s="60">
        <f t="shared" si="16"/>
        <v>66</v>
      </c>
    </row>
    <row r="11" spans="1:122" x14ac:dyDescent="0.2">
      <c r="C11" s="61">
        <f>SUM(C5:C10)</f>
        <v>21</v>
      </c>
      <c r="D11">
        <f>SUM(D5:D10)</f>
        <v>21</v>
      </c>
      <c r="E11">
        <f>SUM(E5:E10)</f>
        <v>21</v>
      </c>
      <c r="F11">
        <f>SUM(F5:F10)</f>
        <v>21</v>
      </c>
      <c r="G11">
        <f>SUM(G5:G10)</f>
        <v>21</v>
      </c>
      <c r="M11">
        <f>SUM(M5:M10)</f>
        <v>21</v>
      </c>
      <c r="N11">
        <f>SUM(N5:N10)</f>
        <v>21</v>
      </c>
      <c r="O11">
        <f>SUM(O5:O10)</f>
        <v>21</v>
      </c>
      <c r="P11">
        <f>SUM(P5:P10)</f>
        <v>21</v>
      </c>
      <c r="Q11">
        <f>SUM(Q5:Q10)</f>
        <v>21</v>
      </c>
      <c r="V11" s="62"/>
      <c r="W11" s="61">
        <f>SUM(W5:W10)</f>
        <v>21</v>
      </c>
      <c r="X11">
        <f>SUM(X5:X10)</f>
        <v>21</v>
      </c>
      <c r="Y11">
        <f>SUM(Y5:Y10)</f>
        <v>21</v>
      </c>
      <c r="Z11">
        <f>SUM(Z5:Z10)</f>
        <v>21</v>
      </c>
      <c r="AA11">
        <f>SUM(AA5:AA10)</f>
        <v>21</v>
      </c>
      <c r="AG11">
        <f>SUM(AG5:AG10)</f>
        <v>57</v>
      </c>
      <c r="AH11">
        <f>SUM(AH5:AH10)</f>
        <v>57</v>
      </c>
      <c r="AI11">
        <f>SUM(AI5:AI10)</f>
        <v>57</v>
      </c>
      <c r="AJ11">
        <f>SUM(AJ5:AJ10)</f>
        <v>57</v>
      </c>
      <c r="AK11">
        <f>SUM(AK5:AK10)</f>
        <v>57</v>
      </c>
      <c r="AP11" s="62"/>
      <c r="AQ11" s="61">
        <f>SUM(AQ5:AQ10)</f>
        <v>21</v>
      </c>
      <c r="AR11">
        <f>SUM(AR5:AR10)</f>
        <v>21</v>
      </c>
      <c r="AS11">
        <f>SUM(AS5:AS10)</f>
        <v>21</v>
      </c>
      <c r="AT11">
        <f>SUM(AT5:AT10)</f>
        <v>21</v>
      </c>
      <c r="AU11">
        <f>SUM(AU5:AU10)</f>
        <v>21</v>
      </c>
      <c r="BA11">
        <f>SUM(BA5:BA10)</f>
        <v>81</v>
      </c>
      <c r="BB11">
        <f>SUM(BB5:BB10)</f>
        <v>81</v>
      </c>
      <c r="BC11">
        <f>SUM(BC5:BC10)</f>
        <v>81</v>
      </c>
      <c r="BD11">
        <f>SUM(BD5:BD10)</f>
        <v>81</v>
      </c>
      <c r="BE11">
        <f>SUM(BE5:BE10)</f>
        <v>81</v>
      </c>
      <c r="BJ11" s="62"/>
      <c r="BK11" s="61">
        <f>SUM(BK5:BK10)</f>
        <v>21</v>
      </c>
      <c r="BL11">
        <f>SUM(BL5:BL10)</f>
        <v>21</v>
      </c>
      <c r="BM11">
        <f>SUM(BM5:BM10)</f>
        <v>21</v>
      </c>
      <c r="BN11">
        <f>SUM(BN5:BN10)</f>
        <v>21</v>
      </c>
      <c r="BO11">
        <f>SUM(BO5:BO10)</f>
        <v>21</v>
      </c>
      <c r="BU11">
        <f>SUM(BU5:BU10)</f>
        <v>81</v>
      </c>
      <c r="BV11">
        <f>SUM(BV5:BV10)</f>
        <v>81</v>
      </c>
      <c r="BW11">
        <f>SUM(BW5:BW10)</f>
        <v>81</v>
      </c>
      <c r="BX11">
        <f>SUM(BX5:BX10)</f>
        <v>81</v>
      </c>
      <c r="BY11">
        <f>SUM(BY5:BY10)</f>
        <v>81</v>
      </c>
      <c r="CD11" s="62"/>
      <c r="CE11" s="61">
        <f>SUM(CE5:CE10)</f>
        <v>21</v>
      </c>
      <c r="CF11">
        <f>SUM(CF5:CF10)</f>
        <v>21</v>
      </c>
      <c r="CG11">
        <f>SUM(CG5:CG10)</f>
        <v>21</v>
      </c>
      <c r="CH11">
        <f>SUM(CH5:CH10)</f>
        <v>21</v>
      </c>
      <c r="CI11">
        <f>SUM(CI5:CI10)</f>
        <v>21</v>
      </c>
      <c r="CO11">
        <f>SUM(CO5:CO10)</f>
        <v>33</v>
      </c>
      <c r="CP11">
        <f>SUM(CP5:CP10)</f>
        <v>33</v>
      </c>
      <c r="CQ11">
        <f>SUM(CQ5:CQ10)</f>
        <v>33</v>
      </c>
      <c r="CR11">
        <f>SUM(CR5:CR10)</f>
        <v>33</v>
      </c>
      <c r="CS11">
        <f>SUM(CS5:CS10)</f>
        <v>33</v>
      </c>
      <c r="CX11" s="62"/>
      <c r="CY11" s="61">
        <f>SUM(CY5:CY10)</f>
        <v>21</v>
      </c>
      <c r="CZ11">
        <f>SUM(CZ5:CZ10)</f>
        <v>21</v>
      </c>
      <c r="DA11">
        <f>SUM(DA5:DA10)</f>
        <v>21</v>
      </c>
      <c r="DB11">
        <f>SUM(DB5:DB10)</f>
        <v>21</v>
      </c>
      <c r="DC11">
        <f>SUM(DC5:DC10)</f>
        <v>21</v>
      </c>
      <c r="DI11">
        <f>SUM(DI5:DI10)</f>
        <v>81</v>
      </c>
      <c r="DJ11">
        <f>SUM(DJ5:DJ10)</f>
        <v>81</v>
      </c>
      <c r="DK11">
        <f>SUM(DK5:DK10)</f>
        <v>81</v>
      </c>
      <c r="DL11">
        <f>SUM(DL5:DL10)</f>
        <v>81</v>
      </c>
      <c r="DM11">
        <f>SUM(DM5:DM10)</f>
        <v>81</v>
      </c>
      <c r="DR11" s="62"/>
    </row>
    <row r="12" spans="1:122" x14ac:dyDescent="0.2">
      <c r="A12">
        <v>1</v>
      </c>
      <c r="B12" s="33" t="str">
        <f t="shared" ref="B12:B17" si="18">+B5</f>
        <v>Castra Regina Regensburg 3</v>
      </c>
      <c r="C12" s="61"/>
      <c r="M12">
        <v>1</v>
      </c>
      <c r="N12">
        <v>3</v>
      </c>
      <c r="O12">
        <v>2</v>
      </c>
      <c r="P12">
        <v>4</v>
      </c>
      <c r="Q12">
        <v>1</v>
      </c>
      <c r="V12" s="60">
        <f t="shared" ref="V12:V18" si="19">SUM(M12:U12)</f>
        <v>11</v>
      </c>
      <c r="W12" s="61"/>
      <c r="AG12">
        <v>5</v>
      </c>
      <c r="AH12">
        <v>3</v>
      </c>
      <c r="AI12">
        <v>1</v>
      </c>
      <c r="AJ12">
        <v>6</v>
      </c>
      <c r="AK12">
        <v>4</v>
      </c>
      <c r="AP12" s="60">
        <f t="shared" ref="AP12:AP17" si="20">SUM(AG12:AO12)</f>
        <v>19</v>
      </c>
      <c r="AQ12" s="61"/>
      <c r="BA12">
        <v>1</v>
      </c>
      <c r="BB12">
        <v>3</v>
      </c>
      <c r="BC12">
        <v>5</v>
      </c>
      <c r="BD12">
        <v>4</v>
      </c>
      <c r="BE12">
        <v>2</v>
      </c>
      <c r="BJ12" s="60">
        <f t="shared" ref="BJ12:BJ17" si="21">SUM(BA12:BI12)</f>
        <v>15</v>
      </c>
      <c r="BK12" s="61"/>
      <c r="BU12">
        <v>6</v>
      </c>
      <c r="BV12">
        <v>2</v>
      </c>
      <c r="BW12">
        <v>3</v>
      </c>
      <c r="BX12">
        <v>5</v>
      </c>
      <c r="BY12">
        <v>1</v>
      </c>
      <c r="CD12" s="60">
        <f t="shared" ref="CD12:CD18" si="22">SUM(BU12:CC12)</f>
        <v>17</v>
      </c>
      <c r="CE12" s="61"/>
      <c r="CO12">
        <v>3</v>
      </c>
      <c r="CP12">
        <v>6</v>
      </c>
      <c r="CQ12">
        <v>4</v>
      </c>
      <c r="CR12">
        <v>5</v>
      </c>
      <c r="CS12">
        <v>3</v>
      </c>
      <c r="CX12" s="60">
        <f t="shared" ref="CX12:CX18" si="23">SUM(CO12:CW12)</f>
        <v>21</v>
      </c>
      <c r="CY12" s="61"/>
      <c r="DI12">
        <v>5</v>
      </c>
      <c r="DJ12">
        <v>1</v>
      </c>
      <c r="DK12">
        <v>6</v>
      </c>
      <c r="DL12">
        <v>2</v>
      </c>
      <c r="DM12">
        <v>5</v>
      </c>
      <c r="DR12" s="60">
        <f t="shared" ref="DR12:DR18" si="24">SUM(DI12:DQ12)</f>
        <v>19</v>
      </c>
    </row>
    <row r="13" spans="1:122" x14ac:dyDescent="0.2">
      <c r="A13">
        <v>2</v>
      </c>
      <c r="B13" s="33" t="str">
        <f t="shared" si="18"/>
        <v>Herzogenaurach 1</v>
      </c>
      <c r="C13" s="61"/>
      <c r="M13">
        <v>2</v>
      </c>
      <c r="N13">
        <v>5</v>
      </c>
      <c r="O13">
        <v>3</v>
      </c>
      <c r="P13">
        <v>1</v>
      </c>
      <c r="Q13">
        <v>6</v>
      </c>
      <c r="V13" s="60">
        <f t="shared" si="19"/>
        <v>17</v>
      </c>
      <c r="W13" s="61"/>
      <c r="AG13">
        <v>2</v>
      </c>
      <c r="AH13">
        <v>4</v>
      </c>
      <c r="AI13">
        <v>6</v>
      </c>
      <c r="AJ13">
        <v>3</v>
      </c>
      <c r="AK13">
        <v>1</v>
      </c>
      <c r="AP13" s="60">
        <f t="shared" si="20"/>
        <v>16</v>
      </c>
      <c r="AQ13" s="61"/>
      <c r="BA13">
        <v>5</v>
      </c>
      <c r="BB13">
        <v>2</v>
      </c>
      <c r="BC13">
        <v>6</v>
      </c>
      <c r="BD13">
        <v>1</v>
      </c>
      <c r="BE13">
        <v>5</v>
      </c>
      <c r="BJ13" s="60">
        <f t="shared" si="21"/>
        <v>19</v>
      </c>
      <c r="BK13" s="61"/>
      <c r="BU13">
        <v>3</v>
      </c>
      <c r="BV13">
        <v>5</v>
      </c>
      <c r="BW13">
        <v>2</v>
      </c>
      <c r="BX13">
        <v>6</v>
      </c>
      <c r="BY13">
        <v>4</v>
      </c>
      <c r="CD13" s="60">
        <f t="shared" si="22"/>
        <v>20</v>
      </c>
      <c r="CE13" s="61"/>
      <c r="CO13">
        <v>2</v>
      </c>
      <c r="CP13">
        <v>3</v>
      </c>
      <c r="CQ13">
        <v>5</v>
      </c>
      <c r="CR13">
        <v>1</v>
      </c>
      <c r="CS13">
        <v>4</v>
      </c>
      <c r="CX13" s="60">
        <f t="shared" si="23"/>
        <v>15</v>
      </c>
      <c r="CY13" s="61"/>
      <c r="DI13">
        <v>6</v>
      </c>
      <c r="DJ13">
        <v>3</v>
      </c>
      <c r="DK13">
        <v>1</v>
      </c>
      <c r="DL13">
        <v>5</v>
      </c>
      <c r="DM13">
        <v>4</v>
      </c>
      <c r="DR13" s="60">
        <f t="shared" si="24"/>
        <v>19</v>
      </c>
    </row>
    <row r="14" spans="1:122" x14ac:dyDescent="0.2">
      <c r="A14">
        <v>3</v>
      </c>
      <c r="B14" s="33" t="str">
        <f t="shared" si="18"/>
        <v>Kings Club Bayreuth Land 2</v>
      </c>
      <c r="C14" s="61"/>
      <c r="M14">
        <v>3</v>
      </c>
      <c r="N14">
        <v>6</v>
      </c>
      <c r="O14">
        <v>1</v>
      </c>
      <c r="P14">
        <v>5</v>
      </c>
      <c r="Q14">
        <v>4</v>
      </c>
      <c r="V14" s="60">
        <f t="shared" si="19"/>
        <v>19</v>
      </c>
      <c r="W14" s="61"/>
      <c r="AG14">
        <v>1</v>
      </c>
      <c r="AH14">
        <v>5</v>
      </c>
      <c r="AI14">
        <v>4</v>
      </c>
      <c r="AJ14">
        <v>2</v>
      </c>
      <c r="AK14">
        <v>3</v>
      </c>
      <c r="AP14" s="60">
        <f t="shared" si="20"/>
        <v>15</v>
      </c>
      <c r="AQ14" s="61"/>
      <c r="BA14">
        <v>4</v>
      </c>
      <c r="BB14">
        <v>1</v>
      </c>
      <c r="BC14">
        <v>3</v>
      </c>
      <c r="BD14">
        <v>6</v>
      </c>
      <c r="BE14">
        <v>1</v>
      </c>
      <c r="BJ14" s="60">
        <f t="shared" si="21"/>
        <v>15</v>
      </c>
      <c r="BK14" s="61"/>
      <c r="BU14">
        <v>5</v>
      </c>
      <c r="BV14">
        <v>4</v>
      </c>
      <c r="BW14">
        <v>6</v>
      </c>
      <c r="BX14">
        <v>1</v>
      </c>
      <c r="BY14">
        <v>3</v>
      </c>
      <c r="CD14" s="60">
        <f t="shared" si="22"/>
        <v>19</v>
      </c>
      <c r="CE14" s="61"/>
      <c r="CO14">
        <v>6</v>
      </c>
      <c r="CP14">
        <v>1</v>
      </c>
      <c r="CQ14">
        <v>3</v>
      </c>
      <c r="CR14">
        <v>2</v>
      </c>
      <c r="CS14">
        <v>5</v>
      </c>
      <c r="CX14" s="60">
        <f t="shared" si="23"/>
        <v>17</v>
      </c>
      <c r="CY14" s="61"/>
      <c r="DI14">
        <v>1</v>
      </c>
      <c r="DJ14">
        <v>4</v>
      </c>
      <c r="DK14">
        <v>5</v>
      </c>
      <c r="DL14">
        <v>3</v>
      </c>
      <c r="DM14">
        <v>2</v>
      </c>
      <c r="DR14" s="60">
        <f t="shared" si="24"/>
        <v>15</v>
      </c>
    </row>
    <row r="15" spans="1:122" x14ac:dyDescent="0.2">
      <c r="A15">
        <v>4</v>
      </c>
      <c r="B15" s="33" t="str">
        <f t="shared" si="18"/>
        <v>Kings Club Bayreuth Land 3</v>
      </c>
      <c r="C15" s="61"/>
      <c r="M15">
        <v>4</v>
      </c>
      <c r="N15">
        <v>2</v>
      </c>
      <c r="O15">
        <v>6</v>
      </c>
      <c r="P15">
        <v>3</v>
      </c>
      <c r="Q15">
        <v>5</v>
      </c>
      <c r="V15" s="60">
        <f t="shared" si="19"/>
        <v>20</v>
      </c>
      <c r="W15" s="61"/>
      <c r="AG15">
        <v>3</v>
      </c>
      <c r="AH15">
        <v>6</v>
      </c>
      <c r="AI15">
        <v>2</v>
      </c>
      <c r="AJ15">
        <v>4</v>
      </c>
      <c r="AK15">
        <v>5</v>
      </c>
      <c r="AP15" s="60">
        <f t="shared" si="20"/>
        <v>20</v>
      </c>
      <c r="AQ15" s="61"/>
      <c r="BA15">
        <v>2</v>
      </c>
      <c r="BB15">
        <v>5</v>
      </c>
      <c r="BC15">
        <v>4</v>
      </c>
      <c r="BD15">
        <v>2</v>
      </c>
      <c r="BE15">
        <v>3</v>
      </c>
      <c r="BJ15" s="60">
        <f t="shared" si="21"/>
        <v>16</v>
      </c>
      <c r="BK15" s="61"/>
      <c r="BU15">
        <v>1</v>
      </c>
      <c r="BV15">
        <v>6</v>
      </c>
      <c r="BW15">
        <v>4</v>
      </c>
      <c r="BX15">
        <v>2</v>
      </c>
      <c r="BY15">
        <v>5</v>
      </c>
      <c r="CD15" s="60">
        <f t="shared" si="22"/>
        <v>18</v>
      </c>
      <c r="CE15" s="61"/>
      <c r="CO15">
        <v>1</v>
      </c>
      <c r="CP15">
        <v>5</v>
      </c>
      <c r="CQ15">
        <v>2</v>
      </c>
      <c r="CR15">
        <v>4</v>
      </c>
      <c r="CS15">
        <v>6</v>
      </c>
      <c r="CX15" s="60">
        <f t="shared" si="23"/>
        <v>18</v>
      </c>
      <c r="CY15" s="61"/>
      <c r="DI15">
        <v>2</v>
      </c>
      <c r="DJ15">
        <v>6</v>
      </c>
      <c r="DK15">
        <v>4</v>
      </c>
      <c r="DL15">
        <v>1</v>
      </c>
      <c r="DM15">
        <v>3</v>
      </c>
      <c r="DR15" s="60">
        <f t="shared" si="24"/>
        <v>16</v>
      </c>
    </row>
    <row r="16" spans="1:122" x14ac:dyDescent="0.2">
      <c r="A16">
        <v>5</v>
      </c>
      <c r="B16" s="33" t="str">
        <f t="shared" si="18"/>
        <v>Castra Regina Regensburg 2</v>
      </c>
      <c r="C16" s="61"/>
      <c r="M16">
        <v>5</v>
      </c>
      <c r="N16">
        <v>1</v>
      </c>
      <c r="O16">
        <v>4</v>
      </c>
      <c r="P16">
        <v>6</v>
      </c>
      <c r="Q16">
        <v>2</v>
      </c>
      <c r="V16" s="60">
        <f t="shared" si="19"/>
        <v>18</v>
      </c>
      <c r="W16" s="61"/>
      <c r="AG16">
        <v>4</v>
      </c>
      <c r="AH16">
        <v>1</v>
      </c>
      <c r="AI16">
        <v>3</v>
      </c>
      <c r="AJ16">
        <v>5</v>
      </c>
      <c r="AK16">
        <v>2</v>
      </c>
      <c r="AP16" s="60">
        <f t="shared" si="20"/>
        <v>15</v>
      </c>
      <c r="AQ16" s="61"/>
      <c r="BA16">
        <v>3</v>
      </c>
      <c r="BB16">
        <v>6</v>
      </c>
      <c r="BC16">
        <v>1</v>
      </c>
      <c r="BD16">
        <v>3</v>
      </c>
      <c r="BE16">
        <v>6</v>
      </c>
      <c r="BJ16" s="60">
        <f t="shared" si="21"/>
        <v>19</v>
      </c>
      <c r="BK16" s="61"/>
      <c r="BU16">
        <v>4</v>
      </c>
      <c r="BV16">
        <v>1</v>
      </c>
      <c r="BW16">
        <v>5</v>
      </c>
      <c r="BX16">
        <v>3</v>
      </c>
      <c r="BY16">
        <v>6</v>
      </c>
      <c r="CD16" s="60">
        <f t="shared" si="22"/>
        <v>19</v>
      </c>
      <c r="CE16" s="61"/>
      <c r="CO16">
        <v>4</v>
      </c>
      <c r="CP16">
        <v>2</v>
      </c>
      <c r="CQ16">
        <v>6</v>
      </c>
      <c r="CR16">
        <v>3</v>
      </c>
      <c r="CS16">
        <v>1</v>
      </c>
      <c r="CX16" s="60">
        <f t="shared" si="23"/>
        <v>16</v>
      </c>
      <c r="CY16" s="61"/>
      <c r="DI16">
        <v>3</v>
      </c>
      <c r="DJ16">
        <v>5</v>
      </c>
      <c r="DK16">
        <v>2</v>
      </c>
      <c r="DL16">
        <v>4</v>
      </c>
      <c r="DM16">
        <v>6</v>
      </c>
      <c r="DR16" s="60">
        <f t="shared" si="24"/>
        <v>20</v>
      </c>
    </row>
    <row r="17" spans="1:122" x14ac:dyDescent="0.2">
      <c r="A17">
        <v>6</v>
      </c>
      <c r="B17" s="33" t="str">
        <f t="shared" si="18"/>
        <v>Adler Nürnberg 1</v>
      </c>
      <c r="C17" s="61"/>
      <c r="M17">
        <v>6</v>
      </c>
      <c r="N17">
        <v>4</v>
      </c>
      <c r="O17">
        <v>5</v>
      </c>
      <c r="P17">
        <v>2</v>
      </c>
      <c r="Q17">
        <v>3</v>
      </c>
      <c r="V17" s="60">
        <f t="shared" si="19"/>
        <v>20</v>
      </c>
      <c r="W17" s="61"/>
      <c r="AG17">
        <v>6</v>
      </c>
      <c r="AH17">
        <v>2</v>
      </c>
      <c r="AI17">
        <v>5</v>
      </c>
      <c r="AJ17">
        <v>1</v>
      </c>
      <c r="AK17">
        <v>6</v>
      </c>
      <c r="AP17" s="60">
        <f t="shared" si="20"/>
        <v>20</v>
      </c>
      <c r="AQ17" s="61"/>
      <c r="BA17">
        <v>6</v>
      </c>
      <c r="BB17">
        <v>4</v>
      </c>
      <c r="BC17">
        <v>2</v>
      </c>
      <c r="BD17">
        <v>5</v>
      </c>
      <c r="BE17">
        <v>4</v>
      </c>
      <c r="BJ17" s="60">
        <f t="shared" si="21"/>
        <v>21</v>
      </c>
      <c r="BK17" s="61"/>
      <c r="BU17">
        <v>2</v>
      </c>
      <c r="BV17">
        <v>3</v>
      </c>
      <c r="BW17">
        <v>1</v>
      </c>
      <c r="BX17">
        <v>4</v>
      </c>
      <c r="BY17">
        <v>2</v>
      </c>
      <c r="CD17" s="60">
        <f t="shared" si="22"/>
        <v>12</v>
      </c>
      <c r="CE17" s="61"/>
      <c r="CO17">
        <v>5</v>
      </c>
      <c r="CP17">
        <v>4</v>
      </c>
      <c r="CQ17">
        <v>1</v>
      </c>
      <c r="CR17">
        <v>6</v>
      </c>
      <c r="CS17">
        <v>2</v>
      </c>
      <c r="CX17" s="60">
        <f t="shared" si="23"/>
        <v>18</v>
      </c>
      <c r="CY17" s="61"/>
      <c r="DI17">
        <v>4</v>
      </c>
      <c r="DJ17">
        <v>2</v>
      </c>
      <c r="DK17">
        <v>3</v>
      </c>
      <c r="DL17">
        <v>6</v>
      </c>
      <c r="DM17">
        <v>1</v>
      </c>
      <c r="DR17" s="60">
        <f t="shared" si="24"/>
        <v>16</v>
      </c>
    </row>
    <row r="18" spans="1:122" ht="13.5" thickBot="1" x14ac:dyDescent="0.25">
      <c r="C18" s="63"/>
      <c r="D18" s="64"/>
      <c r="E18" s="64"/>
      <c r="F18" s="64"/>
      <c r="G18" s="64"/>
      <c r="H18" s="64"/>
      <c r="I18" s="64"/>
      <c r="J18" s="64"/>
      <c r="K18" s="64"/>
      <c r="L18" s="65"/>
      <c r="M18" s="64">
        <f>SUM(M12:M17)</f>
        <v>21</v>
      </c>
      <c r="N18" s="64">
        <f>SUM(N12:N17)</f>
        <v>21</v>
      </c>
      <c r="O18" s="64">
        <f>SUM(O12:O17)</f>
        <v>21</v>
      </c>
      <c r="P18" s="64">
        <f>SUM(P12:P17)</f>
        <v>21</v>
      </c>
      <c r="Q18" s="64">
        <f>SUM(Q12:Q17)</f>
        <v>21</v>
      </c>
      <c r="R18" s="64"/>
      <c r="S18" s="64"/>
      <c r="T18" s="64"/>
      <c r="U18" s="64"/>
      <c r="V18" s="66">
        <f t="shared" si="19"/>
        <v>105</v>
      </c>
      <c r="W18" s="63"/>
      <c r="X18" s="64"/>
      <c r="Y18" s="64"/>
      <c r="Z18" s="64"/>
      <c r="AA18" s="64"/>
      <c r="AB18" s="64"/>
      <c r="AC18" s="64"/>
      <c r="AD18" s="64"/>
      <c r="AE18" s="64"/>
      <c r="AF18" s="65"/>
      <c r="AG18" s="64">
        <f>SUM(AG12:AG17)</f>
        <v>21</v>
      </c>
      <c r="AH18" s="64">
        <f>SUM(AH12:AH17)</f>
        <v>21</v>
      </c>
      <c r="AI18" s="64">
        <f>SUM(AI12:AI17)</f>
        <v>21</v>
      </c>
      <c r="AJ18" s="64">
        <f>SUM(AJ12:AJ17)</f>
        <v>21</v>
      </c>
      <c r="AK18" s="64">
        <f>SUM(AK12:AK17)</f>
        <v>21</v>
      </c>
      <c r="AL18" s="64"/>
      <c r="AM18" s="64"/>
      <c r="AN18" s="64"/>
      <c r="AO18" s="64"/>
      <c r="AP18" s="66"/>
      <c r="AQ18" s="63"/>
      <c r="AR18" s="64"/>
      <c r="AS18" s="64"/>
      <c r="AT18" s="64"/>
      <c r="AU18" s="64"/>
      <c r="AV18" s="64"/>
      <c r="AW18" s="64"/>
      <c r="AX18" s="64"/>
      <c r="AY18" s="64"/>
      <c r="AZ18" s="65"/>
      <c r="BA18" s="64">
        <f>SUM(BA12:BA17)</f>
        <v>21</v>
      </c>
      <c r="BB18" s="64">
        <f>SUM(BB12:BB17)</f>
        <v>21</v>
      </c>
      <c r="BC18" s="64">
        <f>SUM(BC12:BC17)</f>
        <v>21</v>
      </c>
      <c r="BD18" s="64">
        <f>SUM(BD12:BD17)</f>
        <v>21</v>
      </c>
      <c r="BE18" s="64">
        <f>SUM(BE12:BE17)</f>
        <v>21</v>
      </c>
      <c r="BF18" s="64"/>
      <c r="BG18" s="64"/>
      <c r="BH18" s="64"/>
      <c r="BI18" s="64"/>
      <c r="BJ18" s="66"/>
      <c r="BK18" s="63"/>
      <c r="BL18" s="64"/>
      <c r="BM18" s="64"/>
      <c r="BN18" s="64"/>
      <c r="BO18" s="64"/>
      <c r="BP18" s="64"/>
      <c r="BQ18" s="64"/>
      <c r="BR18" s="64"/>
      <c r="BS18" s="64"/>
      <c r="BT18" s="65"/>
      <c r="BU18" s="64">
        <f>SUM(BU12:BU17)</f>
        <v>21</v>
      </c>
      <c r="BV18" s="64">
        <f>SUM(BV12:BV17)</f>
        <v>21</v>
      </c>
      <c r="BW18" s="64">
        <f>SUM(BW12:BW17)</f>
        <v>21</v>
      </c>
      <c r="BX18" s="64">
        <f>SUM(BX12:BX17)</f>
        <v>21</v>
      </c>
      <c r="BY18" s="64">
        <f>SUM(BY12:BY17)</f>
        <v>21</v>
      </c>
      <c r="BZ18" s="64"/>
      <c r="CA18" s="64"/>
      <c r="CB18" s="64"/>
      <c r="CC18" s="64"/>
      <c r="CD18" s="66">
        <f t="shared" si="22"/>
        <v>105</v>
      </c>
      <c r="CE18" s="63"/>
      <c r="CF18" s="64"/>
      <c r="CG18" s="64"/>
      <c r="CH18" s="64"/>
      <c r="CI18" s="64"/>
      <c r="CJ18" s="64"/>
      <c r="CK18" s="64"/>
      <c r="CL18" s="64"/>
      <c r="CM18" s="64"/>
      <c r="CN18" s="65"/>
      <c r="CO18" s="64">
        <f>SUM(CO12:CO17)</f>
        <v>21</v>
      </c>
      <c r="CP18" s="64">
        <f>SUM(CP12:CP17)</f>
        <v>21</v>
      </c>
      <c r="CQ18" s="64">
        <f>SUM(CQ12:CQ17)</f>
        <v>21</v>
      </c>
      <c r="CR18" s="64">
        <f>SUM(CR12:CR17)</f>
        <v>21</v>
      </c>
      <c r="CS18" s="64">
        <f>SUM(CS12:CS17)</f>
        <v>21</v>
      </c>
      <c r="CT18" s="64"/>
      <c r="CU18" s="64"/>
      <c r="CV18" s="64"/>
      <c r="CW18" s="64"/>
      <c r="CX18" s="66">
        <f t="shared" si="23"/>
        <v>105</v>
      </c>
      <c r="CY18" s="63"/>
      <c r="CZ18" s="64"/>
      <c r="DA18" s="64"/>
      <c r="DB18" s="64"/>
      <c r="DC18" s="64"/>
      <c r="DD18" s="64"/>
      <c r="DE18" s="64"/>
      <c r="DF18" s="64"/>
      <c r="DG18" s="64"/>
      <c r="DH18" s="65"/>
      <c r="DI18" s="64">
        <f>SUM(DI12:DI17)</f>
        <v>21</v>
      </c>
      <c r="DJ18" s="64">
        <f>SUM(DJ12:DJ17)</f>
        <v>21</v>
      </c>
      <c r="DK18" s="64">
        <f>SUM(DK12:DK17)</f>
        <v>21</v>
      </c>
      <c r="DL18" s="64">
        <f>SUM(DL12:DL17)</f>
        <v>21</v>
      </c>
      <c r="DM18" s="64">
        <f>SUM(DM12:DM17)</f>
        <v>21</v>
      </c>
      <c r="DN18" s="64"/>
      <c r="DO18" s="64"/>
      <c r="DP18" s="64"/>
      <c r="DQ18" s="64"/>
      <c r="DR18" s="66">
        <f t="shared" si="24"/>
        <v>105</v>
      </c>
    </row>
  </sheetData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DEC7-827E-4BC0-AC0F-2A8D71355B70}">
  <sheetPr>
    <tabColor rgb="FF7030A0"/>
    <pageSetUpPr fitToPage="1"/>
  </sheetPr>
  <dimension ref="A1:P104"/>
  <sheetViews>
    <sheetView view="pageBreakPreview" topLeftCell="A2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92" customWidth="1"/>
    <col min="6" max="6" width="7.7109375" customWidth="1"/>
    <col min="7" max="7" width="7.7109375" style="169" customWidth="1"/>
    <col min="11" max="11" width="11.42578125" customWidth="1"/>
    <col min="12" max="12" width="11.42578125" style="108" hidden="1" customWidth="1"/>
    <col min="13" max="16" width="11.42578125" hidden="1" customWidth="1"/>
    <col min="17" max="20" width="11.42578125" customWidth="1"/>
  </cols>
  <sheetData>
    <row r="1" spans="1:16" ht="28.5" customHeight="1" x14ac:dyDescent="0.4">
      <c r="A1" s="87" t="s">
        <v>1785</v>
      </c>
      <c r="C1" s="160" t="str">
        <f>Schlüssel!$C$1</f>
        <v>Bezirksliga N1 Männer</v>
      </c>
      <c r="D1" s="161"/>
      <c r="E1" s="168"/>
      <c r="F1" s="161"/>
      <c r="L1" s="108" t="s">
        <v>1814</v>
      </c>
      <c r="M1" t="s">
        <v>1799</v>
      </c>
      <c r="N1" t="s">
        <v>1819</v>
      </c>
      <c r="O1" t="s">
        <v>1805</v>
      </c>
      <c r="P1" t="s">
        <v>1820</v>
      </c>
    </row>
    <row r="2" spans="1:16" ht="28.5" customHeight="1" x14ac:dyDescent="0.3">
      <c r="A2" s="170" t="s">
        <v>1784</v>
      </c>
      <c r="C2" s="28">
        <v>4</v>
      </c>
      <c r="D2" s="28" t="s">
        <v>1864</v>
      </c>
      <c r="E2" s="171"/>
      <c r="F2" s="172"/>
      <c r="L2" s="108">
        <f>INDEX(Starter!A:A,ROW()-1)</f>
        <v>7136</v>
      </c>
      <c r="M2">
        <f>INDEX(SchnittGes3!M:M,MATCH(L2,SchnittGes3!L:L,0))+INDEX(Schnitt4!M:M,MATCH(L2,Schnitt4!L:L,0))</f>
        <v>2621</v>
      </c>
      <c r="N2">
        <f>INDEX(SchnittGes3!N:N,MATCH(L2,SchnittGes3!L:L,0))+INDEX(Schnitt4!N:N,MATCH(L2,Schnitt4!L:L,0))</f>
        <v>15</v>
      </c>
      <c r="O2">
        <f t="shared" ref="O2:O65" si="0">IF(N2=0,0,M2/N2-ROW()/1000000000)</f>
        <v>174.73333333133331</v>
      </c>
      <c r="P2">
        <f t="shared" ref="P2:P65" si="1">RANK(O2,O:O)</f>
        <v>20</v>
      </c>
    </row>
    <row r="3" spans="1:16" x14ac:dyDescent="0.2">
      <c r="L3" s="108">
        <f>INDEX(Starter!A:A,ROW()-1)</f>
        <v>7123</v>
      </c>
      <c r="M3">
        <f>INDEX(SchnittGes3!M:M,MATCH(L3,SchnittGes3!L:L,0))+INDEX(Schnitt4!M:M,MATCH(L3,Schnitt4!L:L,0))</f>
        <v>2911</v>
      </c>
      <c r="N3">
        <f>INDEX(SchnittGes3!N:N,MATCH(L3,SchnittGes3!L:L,0))+INDEX(Schnitt4!N:N,MATCH(L3,Schnitt4!L:L,0))</f>
        <v>20</v>
      </c>
      <c r="O3">
        <f t="shared" si="0"/>
        <v>145.54999999700001</v>
      </c>
      <c r="P3">
        <f t="shared" si="1"/>
        <v>36</v>
      </c>
    </row>
    <row r="4" spans="1:16" x14ac:dyDescent="0.2">
      <c r="A4" s="128" t="s">
        <v>1822</v>
      </c>
      <c r="B4" s="128" t="s">
        <v>1814</v>
      </c>
      <c r="C4" t="s">
        <v>1797</v>
      </c>
      <c r="D4" t="s">
        <v>1823</v>
      </c>
      <c r="E4" s="173" t="s">
        <v>1799</v>
      </c>
      <c r="F4" s="128" t="s">
        <v>1819</v>
      </c>
      <c r="G4" s="174" t="s">
        <v>1805</v>
      </c>
      <c r="L4" s="108">
        <f>INDEX(Starter!A:A,ROW()-1)</f>
        <v>25479</v>
      </c>
      <c r="M4">
        <f>INDEX(SchnittGes3!M:M,MATCH(L4,SchnittGes3!L:L,0))+INDEX(Schnitt4!M:M,MATCH(L4,Schnitt4!L:L,0))</f>
        <v>2364</v>
      </c>
      <c r="N4">
        <f>INDEX(SchnittGes3!N:N,MATCH(L4,SchnittGes3!L:L,0))+INDEX(Schnitt4!N:N,MATCH(L4,Schnitt4!L:L,0))</f>
        <v>15</v>
      </c>
      <c r="O4">
        <f t="shared" si="0"/>
        <v>157.59999999600001</v>
      </c>
      <c r="P4">
        <f t="shared" si="1"/>
        <v>30</v>
      </c>
    </row>
    <row r="5" spans="1:16" x14ac:dyDescent="0.2">
      <c r="A5">
        <v>1</v>
      </c>
      <c r="B5">
        <f t="shared" ref="B5:B68" si="2">IFERROR(INDEX(L:L,MATCH(A5,P:P,0)),"")</f>
        <v>38046</v>
      </c>
      <c r="C5" t="str">
        <f>IFERROR(INDEX(Starter!B:B,MATCH(B5,Starter!A:A,0)),"")</f>
        <v>Humbs, Martin</v>
      </c>
      <c r="D5" t="str">
        <f>IFERROR(INDEX(Starter!C:C,MATCH(B5,Starter!A:A,0)),"")</f>
        <v>BC Castra Regina Regensburg</v>
      </c>
      <c r="E5" s="92">
        <f t="shared" ref="E5:E68" si="3">IFERROR(INDEX(M:M,MATCH(A5,P:P,0)),"")</f>
        <v>4075</v>
      </c>
      <c r="F5">
        <f t="shared" ref="F5:F68" si="4">IFERROR(INDEX(N:N,MATCH(A5,P:P,0)),"")</f>
        <v>20</v>
      </c>
      <c r="G5" s="169">
        <f t="shared" ref="G5:G68" si="5">IFERROR(INDEX(O:O,MATCH(A5,P:P,0)),"")</f>
        <v>203.74999997800001</v>
      </c>
      <c r="L5" s="108">
        <f>INDEX(Starter!A:A,ROW()-1)</f>
        <v>7128</v>
      </c>
      <c r="M5">
        <f>INDEX(SchnittGes3!M:M,MATCH(L5,SchnittGes3!L:L,0))+INDEX(Schnitt4!M:M,MATCH(L5,Schnitt4!L:L,0))</f>
        <v>2592</v>
      </c>
      <c r="N5">
        <f>INDEX(SchnittGes3!N:N,MATCH(L5,SchnittGes3!L:L,0))+INDEX(Schnitt4!N:N,MATCH(L5,Schnitt4!L:L,0))</f>
        <v>15</v>
      </c>
      <c r="O5">
        <f t="shared" si="0"/>
        <v>172.79999999500001</v>
      </c>
      <c r="P5">
        <f t="shared" si="1"/>
        <v>21</v>
      </c>
    </row>
    <row r="6" spans="1:16" x14ac:dyDescent="0.2">
      <c r="A6">
        <f t="shared" ref="A6:A69" si="6">IFERROR(IF(A5+1&gt;MAX(P:P)-1,"",A5+1),"")</f>
        <v>2</v>
      </c>
      <c r="B6">
        <f t="shared" si="2"/>
        <v>38260</v>
      </c>
      <c r="C6" t="str">
        <f>IFERROR(INDEX(Starter!B:B,MATCH(B6,Starter!A:A,0)),"")</f>
        <v>Zehendner, Lukas</v>
      </c>
      <c r="D6" t="str">
        <f>IFERROR(INDEX(Starter!C:C,MATCH(B6,Starter!A:A,0)),"")</f>
        <v>BC Castra Regina Regensburg</v>
      </c>
      <c r="E6" s="92">
        <f t="shared" si="3"/>
        <v>949</v>
      </c>
      <c r="F6">
        <f t="shared" si="4"/>
        <v>5</v>
      </c>
      <c r="G6" s="169">
        <f t="shared" si="5"/>
        <v>189.799999966</v>
      </c>
      <c r="L6" s="108">
        <f>INDEX(Starter!A:A,ROW()-1)</f>
        <v>38507</v>
      </c>
      <c r="M6">
        <f>INDEX(SchnittGes3!M:M,MATCH(L6,SchnittGes3!L:L,0))+INDEX(Schnitt4!M:M,MATCH(L6,Schnitt4!L:L,0))</f>
        <v>444</v>
      </c>
      <c r="N6">
        <f>INDEX(SchnittGes3!N:N,MATCH(L6,SchnittGes3!L:L,0))+INDEX(Schnitt4!N:N,MATCH(L6,Schnitt4!L:L,0))</f>
        <v>3</v>
      </c>
      <c r="O6">
        <f t="shared" si="0"/>
        <v>147.99999999400001</v>
      </c>
      <c r="P6">
        <f t="shared" si="1"/>
        <v>35</v>
      </c>
    </row>
    <row r="7" spans="1:16" x14ac:dyDescent="0.2">
      <c r="A7">
        <f t="shared" si="6"/>
        <v>3</v>
      </c>
      <c r="B7">
        <f t="shared" si="2"/>
        <v>38571</v>
      </c>
      <c r="C7" t="str">
        <f>IFERROR(INDEX(Starter!B:B,MATCH(B7,Starter!A:A,0)),"")</f>
        <v>Simon, Steven</v>
      </c>
      <c r="D7" t="str">
        <f>IFERROR(INDEX(Starter!C:C,MATCH(B7,Starter!A:A,0)),"")</f>
        <v>BC Castra Regina Regensburg</v>
      </c>
      <c r="E7" s="92">
        <f t="shared" si="3"/>
        <v>2272</v>
      </c>
      <c r="F7">
        <f t="shared" si="4"/>
        <v>12</v>
      </c>
      <c r="G7" s="169">
        <f t="shared" si="5"/>
        <v>189.33333331033333</v>
      </c>
      <c r="L7" s="108">
        <f>INDEX(Starter!A:A,ROW()-1)</f>
        <v>38115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38</v>
      </c>
    </row>
    <row r="8" spans="1:16" x14ac:dyDescent="0.2">
      <c r="A8">
        <f t="shared" si="6"/>
        <v>4</v>
      </c>
      <c r="B8">
        <f t="shared" si="2"/>
        <v>25760</v>
      </c>
      <c r="C8" t="str">
        <f>IFERROR(INDEX(Starter!B:B,MATCH(B8,Starter!A:A,0)),"")</f>
        <v>Inkermann, Matthias</v>
      </c>
      <c r="D8" t="str">
        <f>IFERROR(INDEX(Starter!C:C,MATCH(B8,Starter!A:A,0)),"")</f>
        <v>BC Herzogenaurach</v>
      </c>
      <c r="E8" s="92">
        <f t="shared" si="3"/>
        <v>3766</v>
      </c>
      <c r="F8">
        <f t="shared" si="4"/>
        <v>20</v>
      </c>
      <c r="G8" s="169">
        <f t="shared" si="5"/>
        <v>188.29999995700001</v>
      </c>
      <c r="L8" s="108">
        <f>INDEX(Starter!A:A,ROW()-1)</f>
        <v>7586</v>
      </c>
      <c r="M8">
        <f>INDEX(SchnittGes3!M:M,MATCH(L8,SchnittGes3!L:L,0))+INDEX(Schnitt4!M:M,MATCH(L8,Schnitt4!L:L,0))</f>
        <v>3667</v>
      </c>
      <c r="N8">
        <f>INDEX(SchnittGes3!N:N,MATCH(L8,SchnittGes3!L:L,0))+INDEX(Schnitt4!N:N,MATCH(L8,Schnitt4!L:L,0))</f>
        <v>20</v>
      </c>
      <c r="O8">
        <f t="shared" si="0"/>
        <v>183.34999999199999</v>
      </c>
      <c r="P8">
        <f t="shared" si="1"/>
        <v>10</v>
      </c>
    </row>
    <row r="9" spans="1:16" x14ac:dyDescent="0.2">
      <c r="A9">
        <f t="shared" si="6"/>
        <v>5</v>
      </c>
      <c r="B9">
        <f t="shared" si="2"/>
        <v>7814</v>
      </c>
      <c r="C9" t="str">
        <f>IFERROR(INDEX(Starter!B:B,MATCH(B9,Starter!A:A,0)),"")</f>
        <v>Kauscher, Bernhard</v>
      </c>
      <c r="D9" t="str">
        <f>IFERROR(INDEX(Starter!C:C,MATCH(B9,Starter!A:A,0)),"")</f>
        <v>BC Castra Regina Regensburg</v>
      </c>
      <c r="E9" s="92">
        <f t="shared" si="3"/>
        <v>1881</v>
      </c>
      <c r="F9">
        <f t="shared" si="4"/>
        <v>10</v>
      </c>
      <c r="G9" s="169">
        <f t="shared" si="5"/>
        <v>188.09999997399999</v>
      </c>
      <c r="L9" s="108">
        <f>INDEX(Starter!A:A,ROW()-1)</f>
        <v>9936</v>
      </c>
      <c r="M9">
        <f>INDEX(SchnittGes3!M:M,MATCH(L9,SchnittGes3!L:L,0))+INDEX(Schnitt4!M:M,MATCH(L9,Schnitt4!L:L,0))</f>
        <v>2762</v>
      </c>
      <c r="N9">
        <f>INDEX(SchnittGes3!N:N,MATCH(L9,SchnittGes3!L:L,0))+INDEX(Schnitt4!N:N,MATCH(L9,Schnitt4!L:L,0))</f>
        <v>15</v>
      </c>
      <c r="O9">
        <f t="shared" si="0"/>
        <v>184.13333332433334</v>
      </c>
      <c r="P9">
        <f t="shared" si="1"/>
        <v>8</v>
      </c>
    </row>
    <row r="10" spans="1:16" x14ac:dyDescent="0.2">
      <c r="A10">
        <f t="shared" si="6"/>
        <v>6</v>
      </c>
      <c r="B10">
        <f t="shared" si="2"/>
        <v>25723</v>
      </c>
      <c r="C10" t="str">
        <f>IFERROR(INDEX(Starter!B:B,MATCH(B10,Starter!A:A,0)),"")</f>
        <v>Bothe, Thomas</v>
      </c>
      <c r="D10" t="str">
        <f>IFERROR(INDEX(Starter!C:C,MATCH(B10,Starter!A:A,0)),"")</f>
        <v>BC Castra Regina Regensburg</v>
      </c>
      <c r="E10" s="92">
        <f t="shared" si="3"/>
        <v>1875</v>
      </c>
      <c r="F10">
        <f t="shared" si="4"/>
        <v>10</v>
      </c>
      <c r="G10" s="169">
        <f t="shared" si="5"/>
        <v>187.49999996400001</v>
      </c>
      <c r="L10" s="108">
        <f>INDEX(Starter!A:A,ROW()-1)</f>
        <v>7135</v>
      </c>
      <c r="M10">
        <f>INDEX(SchnittGes3!M:M,MATCH(L10,SchnittGes3!L:L,0))+INDEX(Schnitt4!M:M,MATCH(L10,Schnitt4!L:L,0))</f>
        <v>914</v>
      </c>
      <c r="N10">
        <f>INDEX(SchnittGes3!N:N,MATCH(L10,SchnittGes3!L:L,0))+INDEX(Schnitt4!N:N,MATCH(L10,Schnitt4!L:L,0))</f>
        <v>5</v>
      </c>
      <c r="O10">
        <f t="shared" si="0"/>
        <v>182.79999999</v>
      </c>
      <c r="P10">
        <f t="shared" si="1"/>
        <v>11</v>
      </c>
    </row>
    <row r="11" spans="1:16" x14ac:dyDescent="0.2">
      <c r="A11">
        <f t="shared" si="6"/>
        <v>7</v>
      </c>
      <c r="B11">
        <f t="shared" si="2"/>
        <v>7813</v>
      </c>
      <c r="C11" t="str">
        <f>IFERROR(INDEX(Starter!B:B,MATCH(B11,Starter!A:A,0)),"")</f>
        <v>Walzer, Peter</v>
      </c>
      <c r="D11" t="str">
        <f>IFERROR(INDEX(Starter!C:C,MATCH(B11,Starter!A:A,0)),"")</f>
        <v>BC Castra Regina Regensburg</v>
      </c>
      <c r="E11" s="92">
        <f t="shared" si="3"/>
        <v>2616</v>
      </c>
      <c r="F11">
        <f t="shared" si="4"/>
        <v>14</v>
      </c>
      <c r="G11" s="169">
        <f t="shared" si="5"/>
        <v>186.85714283014286</v>
      </c>
      <c r="L11" s="108">
        <f>INDEX(Starter!A:A,ROW()-1)</f>
        <v>38367</v>
      </c>
      <c r="M11">
        <f>INDEX(SchnittGes3!M:M,MATCH(L11,SchnittGes3!L:L,0))+INDEX(Schnitt4!M:M,MATCH(L11,Schnitt4!L:L,0))</f>
        <v>0</v>
      </c>
      <c r="N11">
        <f>INDEX(SchnittGes3!N:N,MATCH(L11,SchnittGes3!L:L,0))+INDEX(Schnitt4!N:N,MATCH(L11,Schnitt4!L:L,0))</f>
        <v>0</v>
      </c>
      <c r="O11">
        <f t="shared" si="0"/>
        <v>0</v>
      </c>
      <c r="P11">
        <f t="shared" si="1"/>
        <v>38</v>
      </c>
    </row>
    <row r="12" spans="1:16" x14ac:dyDescent="0.2">
      <c r="A12">
        <f t="shared" si="6"/>
        <v>8</v>
      </c>
      <c r="B12">
        <f t="shared" si="2"/>
        <v>9936</v>
      </c>
      <c r="C12" t="str">
        <f>IFERROR(INDEX(Starter!B:B,MATCH(B12,Starter!A:A,0)),"")</f>
        <v>Fischer, Nick</v>
      </c>
      <c r="D12" t="str">
        <f>IFERROR(INDEX(Starter!C:C,MATCH(B12,Starter!A:A,0)),"")</f>
        <v>Kings Club Bayreuth</v>
      </c>
      <c r="E12" s="92">
        <f t="shared" si="3"/>
        <v>2762</v>
      </c>
      <c r="F12">
        <f t="shared" si="4"/>
        <v>15</v>
      </c>
      <c r="G12" s="169">
        <f t="shared" si="5"/>
        <v>184.13333332433334</v>
      </c>
      <c r="L12" s="108">
        <f>INDEX(Starter!A:A,ROW()-1)</f>
        <v>38152</v>
      </c>
      <c r="M12">
        <f>INDEX(SchnittGes3!M:M,MATCH(L12,SchnittGes3!L:L,0))+INDEX(Schnitt4!M:M,MATCH(L12,Schnitt4!L:L,0))</f>
        <v>282</v>
      </c>
      <c r="N12">
        <f>INDEX(SchnittGes3!N:N,MATCH(L12,SchnittGes3!L:L,0))+INDEX(Schnitt4!N:N,MATCH(L12,Schnitt4!L:L,0))</f>
        <v>2</v>
      </c>
      <c r="O12">
        <f t="shared" si="0"/>
        <v>140.99999998800001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7816</v>
      </c>
      <c r="C13" t="str">
        <f>IFERROR(INDEX(Starter!B:B,MATCH(B13,Starter!A:A,0)),"")</f>
        <v>Jahre, Steffen</v>
      </c>
      <c r="D13" t="str">
        <f>IFERROR(INDEX(Starter!C:C,MATCH(B13,Starter!A:A,0)),"")</f>
        <v>BC Castra Regina Regensburg</v>
      </c>
      <c r="E13" s="92">
        <f t="shared" si="3"/>
        <v>919</v>
      </c>
      <c r="F13">
        <f t="shared" si="4"/>
        <v>5</v>
      </c>
      <c r="G13" s="169">
        <f t="shared" si="5"/>
        <v>183.799999963</v>
      </c>
      <c r="L13" s="108">
        <f>INDEX(Starter!A:A,ROW()-1)</f>
        <v>25007</v>
      </c>
      <c r="M13">
        <f>INDEX(SchnittGes3!M:M,MATCH(L13,SchnittGes3!L:L,0))+INDEX(Schnitt4!M:M,MATCH(L13,Schnitt4!L:L,0))</f>
        <v>0</v>
      </c>
      <c r="N13">
        <f>INDEX(SchnittGes3!N:N,MATCH(L13,SchnittGes3!L:L,0))+INDEX(Schnitt4!N:N,MATCH(L13,Schnitt4!L:L,0))</f>
        <v>0</v>
      </c>
      <c r="O13">
        <f t="shared" si="0"/>
        <v>0</v>
      </c>
      <c r="P13">
        <f t="shared" si="1"/>
        <v>38</v>
      </c>
    </row>
    <row r="14" spans="1:16" x14ac:dyDescent="0.2">
      <c r="A14">
        <f t="shared" si="6"/>
        <v>10</v>
      </c>
      <c r="B14">
        <f t="shared" si="2"/>
        <v>7586</v>
      </c>
      <c r="C14" t="str">
        <f>IFERROR(INDEX(Starter!B:B,MATCH(B14,Starter!A:A,0)),"")</f>
        <v>Eichner, Karl</v>
      </c>
      <c r="D14" t="str">
        <f>IFERROR(INDEX(Starter!C:C,MATCH(B14,Starter!A:A,0)),"")</f>
        <v>Kings Club Bayreuth</v>
      </c>
      <c r="E14" s="92">
        <f t="shared" si="3"/>
        <v>3667</v>
      </c>
      <c r="F14">
        <f t="shared" si="4"/>
        <v>20</v>
      </c>
      <c r="G14" s="169">
        <f t="shared" si="5"/>
        <v>183.34999999199999</v>
      </c>
      <c r="L14" s="108">
        <f>INDEX(Starter!A:A,ROW()-1)</f>
        <v>38661</v>
      </c>
      <c r="M14">
        <f>INDEX(SchnittGes3!M:M,MATCH(L14,SchnittGes3!L:L,0))+INDEX(Schnitt4!M:M,MATCH(L14,Schnitt4!L:L,0))</f>
        <v>1711</v>
      </c>
      <c r="N14">
        <f>INDEX(SchnittGes3!N:N,MATCH(L14,SchnittGes3!L:L,0))+INDEX(Schnitt4!N:N,MATCH(L14,Schnitt4!L:L,0))</f>
        <v>10</v>
      </c>
      <c r="O14">
        <f t="shared" si="0"/>
        <v>171.099999986</v>
      </c>
      <c r="P14">
        <f t="shared" si="1"/>
        <v>23</v>
      </c>
    </row>
    <row r="15" spans="1:16" x14ac:dyDescent="0.2">
      <c r="A15">
        <f t="shared" si="6"/>
        <v>11</v>
      </c>
      <c r="B15">
        <f t="shared" si="2"/>
        <v>7135</v>
      </c>
      <c r="C15" t="str">
        <f>IFERROR(INDEX(Starter!B:B,MATCH(B15,Starter!A:A,0)),"")</f>
        <v>Franke, Guido</v>
      </c>
      <c r="D15" t="str">
        <f>IFERROR(INDEX(Starter!C:C,MATCH(B15,Starter!A:A,0)),"")</f>
        <v>Kings Club Bayreuth</v>
      </c>
      <c r="E15" s="92">
        <f t="shared" si="3"/>
        <v>914</v>
      </c>
      <c r="F15">
        <f t="shared" si="4"/>
        <v>5</v>
      </c>
      <c r="G15" s="169">
        <f t="shared" si="5"/>
        <v>182.79999999</v>
      </c>
      <c r="L15" s="108">
        <f>INDEX(Starter!A:A,ROW()-1)</f>
        <v>34393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0"/>
        <v>0</v>
      </c>
      <c r="P15">
        <f t="shared" si="1"/>
        <v>38</v>
      </c>
    </row>
    <row r="16" spans="1:16" x14ac:dyDescent="0.2">
      <c r="A16">
        <f t="shared" si="6"/>
        <v>12</v>
      </c>
      <c r="B16">
        <f t="shared" si="2"/>
        <v>25895</v>
      </c>
      <c r="C16" t="str">
        <f>IFERROR(INDEX(Starter!B:B,MATCH(B16,Starter!A:A,0)),"")</f>
        <v>Gilch, Stefan</v>
      </c>
      <c r="D16" t="str">
        <f>IFERROR(INDEX(Starter!C:C,MATCH(B16,Starter!A:A,0)),"")</f>
        <v>BC Castra Regina Regensburg</v>
      </c>
      <c r="E16" s="92">
        <f t="shared" si="3"/>
        <v>1995</v>
      </c>
      <c r="F16">
        <f t="shared" si="4"/>
        <v>11</v>
      </c>
      <c r="G16" s="169">
        <f t="shared" si="5"/>
        <v>181.36363633063638</v>
      </c>
      <c r="L16" s="108">
        <f>INDEX(Starter!A:A,ROW()-1)</f>
        <v>38823</v>
      </c>
      <c r="M16">
        <f>INDEX(SchnittGes3!M:M,MATCH(L16,SchnittGes3!L:L,0))+INDEX(Schnitt4!M:M,MATCH(L16,Schnitt4!L:L,0))</f>
        <v>3368</v>
      </c>
      <c r="N16">
        <f>INDEX(SchnittGes3!N:N,MATCH(L16,SchnittGes3!L:L,0))+INDEX(Schnitt4!N:N,MATCH(L16,Schnitt4!L:L,0))</f>
        <v>20</v>
      </c>
      <c r="O16">
        <f t="shared" si="0"/>
        <v>168.399999984</v>
      </c>
      <c r="P16">
        <f t="shared" si="1"/>
        <v>26</v>
      </c>
    </row>
    <row r="17" spans="1:16" x14ac:dyDescent="0.2">
      <c r="A17">
        <f t="shared" si="6"/>
        <v>13</v>
      </c>
      <c r="B17">
        <f t="shared" si="2"/>
        <v>25130</v>
      </c>
      <c r="C17" t="str">
        <f>IFERROR(INDEX(Starter!B:B,MATCH(B17,Starter!A:A,0)),"")</f>
        <v>Aumeier, Bernhard</v>
      </c>
      <c r="D17" t="str">
        <f>IFERROR(INDEX(Starter!C:C,MATCH(B17,Starter!A:A,0)),"")</f>
        <v>BC Castra Regina Regensburg</v>
      </c>
      <c r="E17" s="92">
        <f t="shared" si="3"/>
        <v>2156</v>
      </c>
      <c r="F17">
        <f t="shared" si="4"/>
        <v>12</v>
      </c>
      <c r="G17" s="169">
        <f t="shared" si="5"/>
        <v>179.66666663766665</v>
      </c>
      <c r="L17" s="108">
        <f>INDEX(Starter!A:A,ROW()-1)</f>
        <v>38509</v>
      </c>
      <c r="M17">
        <f>INDEX(SchnittGes3!M:M,MATCH(L17,SchnittGes3!L:L,0))+INDEX(Schnitt4!M:M,MATCH(L17,Schnitt4!L:L,0))</f>
        <v>3256</v>
      </c>
      <c r="N17">
        <f>INDEX(SchnittGes3!N:N,MATCH(L17,SchnittGes3!L:L,0))+INDEX(Schnitt4!N:N,MATCH(L17,Schnitt4!L:L,0))</f>
        <v>20</v>
      </c>
      <c r="O17">
        <f t="shared" si="0"/>
        <v>162.79999998300002</v>
      </c>
      <c r="P17">
        <f t="shared" si="1"/>
        <v>28</v>
      </c>
    </row>
    <row r="18" spans="1:16" x14ac:dyDescent="0.2">
      <c r="A18">
        <f t="shared" si="6"/>
        <v>14</v>
      </c>
      <c r="B18">
        <f t="shared" si="2"/>
        <v>7286</v>
      </c>
      <c r="C18" t="str">
        <f>IFERROR(INDEX(Starter!B:B,MATCH(B18,Starter!A:A,0)),"")</f>
        <v>Meier, Peter</v>
      </c>
      <c r="D18" t="str">
        <f>IFERROR(INDEX(Starter!C:C,MATCH(B18,Starter!A:A,0)),"")</f>
        <v>BC Herzogenaurach</v>
      </c>
      <c r="E18" s="92">
        <f t="shared" si="3"/>
        <v>3054</v>
      </c>
      <c r="F18">
        <f t="shared" si="4"/>
        <v>17</v>
      </c>
      <c r="G18" s="169">
        <f t="shared" si="5"/>
        <v>179.64705880352943</v>
      </c>
      <c r="L18" s="108">
        <f>INDEX(Starter!A:A,ROW()-1)</f>
        <v>7282</v>
      </c>
      <c r="M18">
        <f>INDEX(SchnittGes3!M:M,MATCH(L18,SchnittGes3!L:L,0))+INDEX(Schnitt4!M:M,MATCH(L18,Schnitt4!L:L,0))</f>
        <v>1795</v>
      </c>
      <c r="N18">
        <f>INDEX(SchnittGes3!N:N,MATCH(L18,SchnittGes3!L:L,0))+INDEX(Schnitt4!N:N,MATCH(L18,Schnitt4!L:L,0))</f>
        <v>10</v>
      </c>
      <c r="O18">
        <f t="shared" si="0"/>
        <v>179.49999998199999</v>
      </c>
      <c r="P18">
        <f t="shared" si="1"/>
        <v>15</v>
      </c>
    </row>
    <row r="19" spans="1:16" x14ac:dyDescent="0.2">
      <c r="A19">
        <f t="shared" si="6"/>
        <v>15</v>
      </c>
      <c r="B19">
        <f t="shared" si="2"/>
        <v>7282</v>
      </c>
      <c r="C19" t="str">
        <f>IFERROR(INDEX(Starter!B:B,MATCH(B19,Starter!A:A,0)),"")</f>
        <v>Voss, Horst</v>
      </c>
      <c r="D19" t="str">
        <f>IFERROR(INDEX(Starter!C:C,MATCH(B19,Starter!A:A,0)),"")</f>
        <v>BC Herzogenaurach</v>
      </c>
      <c r="E19" s="92">
        <f t="shared" si="3"/>
        <v>1795</v>
      </c>
      <c r="F19">
        <f t="shared" si="4"/>
        <v>10</v>
      </c>
      <c r="G19" s="169">
        <f t="shared" si="5"/>
        <v>179.49999998199999</v>
      </c>
      <c r="L19" s="108">
        <f>INDEX(Starter!A:A,ROW()-1)</f>
        <v>25378</v>
      </c>
      <c r="M19">
        <f>INDEX(SchnittGes3!M:M,MATCH(L19,SchnittGes3!L:L,0))+INDEX(Schnitt4!M:M,MATCH(L19,Schnitt4!L:L,0))</f>
        <v>2814</v>
      </c>
      <c r="N19">
        <f>INDEX(SchnittGes3!N:N,MATCH(L19,SchnittGes3!L:L,0))+INDEX(Schnitt4!N:N,MATCH(L19,Schnitt4!L:L,0))</f>
        <v>16</v>
      </c>
      <c r="O19">
        <f t="shared" si="0"/>
        <v>175.874999981</v>
      </c>
      <c r="P19">
        <f t="shared" si="1"/>
        <v>18</v>
      </c>
    </row>
    <row r="20" spans="1:16" x14ac:dyDescent="0.2">
      <c r="A20">
        <f t="shared" si="6"/>
        <v>16</v>
      </c>
      <c r="B20">
        <f t="shared" si="2"/>
        <v>16707</v>
      </c>
      <c r="C20" t="str">
        <f>IFERROR(INDEX(Starter!B:B,MATCH(B20,Starter!A:A,0)),"")</f>
        <v>Beier, Thomas</v>
      </c>
      <c r="D20" t="str">
        <f>IFERROR(INDEX(Starter!C:C,MATCH(B20,Starter!A:A,0)),"")</f>
        <v>BC Adler Nürnberg</v>
      </c>
      <c r="E20" s="92">
        <f t="shared" si="3"/>
        <v>3578</v>
      </c>
      <c r="F20">
        <f t="shared" si="4"/>
        <v>20</v>
      </c>
      <c r="G20" s="169">
        <f t="shared" si="5"/>
        <v>178.899999958</v>
      </c>
      <c r="L20" s="108">
        <f>INDEX(Starter!A:A,ROW()-1)</f>
        <v>7286</v>
      </c>
      <c r="M20">
        <f>INDEX(SchnittGes3!M:M,MATCH(L20,SchnittGes3!L:L,0))+INDEX(Schnitt4!M:M,MATCH(L20,Schnitt4!L:L,0))</f>
        <v>3054</v>
      </c>
      <c r="N20">
        <f>INDEX(SchnittGes3!N:N,MATCH(L20,SchnittGes3!L:L,0))+INDEX(Schnitt4!N:N,MATCH(L20,Schnitt4!L:L,0))</f>
        <v>17</v>
      </c>
      <c r="O20">
        <f t="shared" si="0"/>
        <v>179.64705880352943</v>
      </c>
      <c r="P20">
        <f t="shared" si="1"/>
        <v>14</v>
      </c>
    </row>
    <row r="21" spans="1:16" x14ac:dyDescent="0.2">
      <c r="A21">
        <f t="shared" si="6"/>
        <v>17</v>
      </c>
      <c r="B21">
        <f t="shared" si="2"/>
        <v>7849</v>
      </c>
      <c r="C21" t="str">
        <f>IFERROR(INDEX(Starter!B:B,MATCH(B21,Starter!A:A,0)),"")</f>
        <v>Stibel, Blasius</v>
      </c>
      <c r="D21" t="str">
        <f>IFERROR(INDEX(Starter!C:C,MATCH(B21,Starter!A:A,0)),"")</f>
        <v>BC Castra Regina Regensburg</v>
      </c>
      <c r="E21" s="92">
        <f t="shared" si="3"/>
        <v>2648</v>
      </c>
      <c r="F21">
        <f t="shared" si="4"/>
        <v>15</v>
      </c>
      <c r="G21" s="169">
        <f t="shared" si="5"/>
        <v>176.53333330233332</v>
      </c>
      <c r="L21" s="108">
        <f>INDEX(Starter!A:A,ROW()-1)</f>
        <v>7283</v>
      </c>
      <c r="M21">
        <f>INDEX(SchnittGes3!M:M,MATCH(L21,SchnittGes3!L:L,0))+INDEX(Schnitt4!M:M,MATCH(L21,Schnitt4!L:L,0))</f>
        <v>2547</v>
      </c>
      <c r="N21">
        <f>INDEX(SchnittGes3!N:N,MATCH(L21,SchnittGes3!L:L,0))+INDEX(Schnitt4!N:N,MATCH(L21,Schnitt4!L:L,0))</f>
        <v>15</v>
      </c>
      <c r="O21">
        <f t="shared" si="0"/>
        <v>169.79999997900001</v>
      </c>
      <c r="P21">
        <f t="shared" si="1"/>
        <v>24</v>
      </c>
    </row>
    <row r="22" spans="1:16" x14ac:dyDescent="0.2">
      <c r="A22">
        <f t="shared" si="6"/>
        <v>18</v>
      </c>
      <c r="B22">
        <f t="shared" si="2"/>
        <v>25378</v>
      </c>
      <c r="C22" t="str">
        <f>IFERROR(INDEX(Starter!B:B,MATCH(B22,Starter!A:A,0)),"")</f>
        <v>Arnold, Nadine</v>
      </c>
      <c r="D22" t="str">
        <f>IFERROR(INDEX(Starter!C:C,MATCH(B22,Starter!A:A,0)),"")</f>
        <v>BC Herzogenaurach</v>
      </c>
      <c r="E22" s="92">
        <f t="shared" si="3"/>
        <v>2814</v>
      </c>
      <c r="F22">
        <f t="shared" si="4"/>
        <v>16</v>
      </c>
      <c r="G22" s="169">
        <f t="shared" si="5"/>
        <v>175.874999981</v>
      </c>
      <c r="L22" s="108">
        <f>INDEX(Starter!A:A,ROW()-1)</f>
        <v>38046</v>
      </c>
      <c r="M22">
        <f>INDEX(SchnittGes3!M:M,MATCH(L22,SchnittGes3!L:L,0))+INDEX(Schnitt4!M:M,MATCH(L22,Schnitt4!L:L,0))</f>
        <v>4075</v>
      </c>
      <c r="N22">
        <f>INDEX(SchnittGes3!N:N,MATCH(L22,SchnittGes3!L:L,0))+INDEX(Schnitt4!N:N,MATCH(L22,Schnitt4!L:L,0))</f>
        <v>20</v>
      </c>
      <c r="O22">
        <f t="shared" si="0"/>
        <v>203.74999997800001</v>
      </c>
      <c r="P22">
        <f t="shared" si="1"/>
        <v>1</v>
      </c>
    </row>
    <row r="23" spans="1:16" x14ac:dyDescent="0.2">
      <c r="A23">
        <f t="shared" si="6"/>
        <v>19</v>
      </c>
      <c r="B23">
        <f t="shared" si="2"/>
        <v>7714</v>
      </c>
      <c r="C23" t="str">
        <f>IFERROR(INDEX(Starter!B:B,MATCH(B23,Starter!A:A,0)),"")</f>
        <v>Doßler, Thomas</v>
      </c>
      <c r="D23" t="str">
        <f>IFERROR(INDEX(Starter!C:C,MATCH(B23,Starter!A:A,0)),"")</f>
        <v>BC Adler Nürnberg</v>
      </c>
      <c r="E23" s="92">
        <f t="shared" si="3"/>
        <v>2623</v>
      </c>
      <c r="F23">
        <f t="shared" si="4"/>
        <v>15</v>
      </c>
      <c r="G23" s="169">
        <f t="shared" si="5"/>
        <v>174.86666662766666</v>
      </c>
      <c r="L23" s="108">
        <f>INDEX(Starter!A:A,ROW()-1)</f>
        <v>38571</v>
      </c>
      <c r="M23">
        <f>INDEX(SchnittGes3!M:M,MATCH(L23,SchnittGes3!L:L,0))+INDEX(Schnitt4!M:M,MATCH(L23,Schnitt4!L:L,0))</f>
        <v>2272</v>
      </c>
      <c r="N23">
        <f>INDEX(SchnittGes3!N:N,MATCH(L23,SchnittGes3!L:L,0))+INDEX(Schnitt4!N:N,MATCH(L23,Schnitt4!L:L,0))</f>
        <v>12</v>
      </c>
      <c r="O23">
        <f t="shared" si="0"/>
        <v>189.33333331033333</v>
      </c>
      <c r="P23">
        <f t="shared" si="1"/>
        <v>3</v>
      </c>
    </row>
    <row r="24" spans="1:16" x14ac:dyDescent="0.2">
      <c r="A24">
        <f t="shared" si="6"/>
        <v>20</v>
      </c>
      <c r="B24">
        <f t="shared" si="2"/>
        <v>7136</v>
      </c>
      <c r="C24" t="str">
        <f>IFERROR(INDEX(Starter!B:B,MATCH(B24,Starter!A:A,0)),"")</f>
        <v>Rühr, Wilfried</v>
      </c>
      <c r="D24" t="str">
        <f>IFERROR(INDEX(Starter!C:C,MATCH(B24,Starter!A:A,0)),"")</f>
        <v>Kings Club Bayreuth</v>
      </c>
      <c r="E24" s="92">
        <f t="shared" si="3"/>
        <v>2621</v>
      </c>
      <c r="F24">
        <f t="shared" si="4"/>
        <v>15</v>
      </c>
      <c r="G24" s="169">
        <f t="shared" si="5"/>
        <v>174.73333333133331</v>
      </c>
      <c r="L24" s="108">
        <f>INDEX(Starter!A:A,ROW()-1)</f>
        <v>38870</v>
      </c>
      <c r="M24">
        <f>INDEX(SchnittGes3!M:M,MATCH(L24,SchnittGes3!L:L,0))+INDEX(Schnitt4!M:M,MATCH(L24,Schnitt4!L:L,0))</f>
        <v>3143</v>
      </c>
      <c r="N24">
        <f>INDEX(SchnittGes3!N:N,MATCH(L24,SchnittGes3!L:L,0))+INDEX(Schnitt4!N:N,MATCH(L24,Schnitt4!L:L,0))</f>
        <v>20</v>
      </c>
      <c r="O24">
        <f t="shared" si="0"/>
        <v>157.149999976</v>
      </c>
      <c r="P24">
        <f t="shared" si="1"/>
        <v>31</v>
      </c>
    </row>
    <row r="25" spans="1:16" x14ac:dyDescent="0.2">
      <c r="A25">
        <f t="shared" si="6"/>
        <v>21</v>
      </c>
      <c r="B25">
        <f t="shared" si="2"/>
        <v>7128</v>
      </c>
      <c r="C25" t="str">
        <f>IFERROR(INDEX(Starter!B:B,MATCH(B25,Starter!A:A,0)),"")</f>
        <v>Wallner, Harald</v>
      </c>
      <c r="D25" t="str">
        <f>IFERROR(INDEX(Starter!C:C,MATCH(B25,Starter!A:A,0)),"")</f>
        <v>Kings Club Bayreuth</v>
      </c>
      <c r="E25" s="92">
        <f t="shared" si="3"/>
        <v>2592</v>
      </c>
      <c r="F25">
        <f t="shared" si="4"/>
        <v>15</v>
      </c>
      <c r="G25" s="169">
        <f t="shared" si="5"/>
        <v>172.79999999500001</v>
      </c>
      <c r="L25" s="108">
        <f>INDEX(Starter!A:A,ROW()-1)</f>
        <v>7809</v>
      </c>
      <c r="M25">
        <f>INDEX(SchnittGes3!M:M,MATCH(L25,SchnittGes3!L:L,0))+INDEX(Schnitt4!M:M,MATCH(L25,Schnitt4!L:L,0))</f>
        <v>313</v>
      </c>
      <c r="N25">
        <f>INDEX(SchnittGes3!N:N,MATCH(L25,SchnittGes3!L:L,0))+INDEX(Schnitt4!N:N,MATCH(L25,Schnitt4!L:L,0))</f>
        <v>2</v>
      </c>
      <c r="O25">
        <f t="shared" si="0"/>
        <v>156.49999997500001</v>
      </c>
      <c r="P25">
        <f t="shared" si="1"/>
        <v>32</v>
      </c>
    </row>
    <row r="26" spans="1:16" x14ac:dyDescent="0.2">
      <c r="A26">
        <f t="shared" si="6"/>
        <v>22</v>
      </c>
      <c r="B26">
        <f t="shared" si="2"/>
        <v>25811</v>
      </c>
      <c r="C26" t="str">
        <f>IFERROR(INDEX(Starter!B:B,MATCH(B26,Starter!A:A,0)),"")</f>
        <v>Schmelzl, Werner</v>
      </c>
      <c r="D26" t="str">
        <f>IFERROR(INDEX(Starter!C:C,MATCH(B26,Starter!A:A,0)),"")</f>
        <v>BC Adler Nürnberg</v>
      </c>
      <c r="E26" s="92">
        <f t="shared" si="3"/>
        <v>3442</v>
      </c>
      <c r="F26">
        <f t="shared" si="4"/>
        <v>20</v>
      </c>
      <c r="G26" s="169">
        <f t="shared" si="5"/>
        <v>172.09999995999999</v>
      </c>
      <c r="L26" s="108">
        <f>INDEX(Starter!A:A,ROW()-1)</f>
        <v>7814</v>
      </c>
      <c r="M26">
        <f>INDEX(SchnittGes3!M:M,MATCH(L26,SchnittGes3!L:L,0))+INDEX(Schnitt4!M:M,MATCH(L26,Schnitt4!L:L,0))</f>
        <v>1881</v>
      </c>
      <c r="N26">
        <f>INDEX(SchnittGes3!N:N,MATCH(L26,SchnittGes3!L:L,0))+INDEX(Schnitt4!N:N,MATCH(L26,Schnitt4!L:L,0))</f>
        <v>10</v>
      </c>
      <c r="O26">
        <f t="shared" si="0"/>
        <v>188.09999997399999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38661</v>
      </c>
      <c r="C27" t="str">
        <f>IFERROR(INDEX(Starter!B:B,MATCH(B27,Starter!A:A,0)),"")</f>
        <v>Katholing, Jürgen</v>
      </c>
      <c r="D27" t="str">
        <f>IFERROR(INDEX(Starter!C:C,MATCH(B27,Starter!A:A,0)),"")</f>
        <v>Kings Club Bayreuth</v>
      </c>
      <c r="E27" s="92">
        <f t="shared" si="3"/>
        <v>1711</v>
      </c>
      <c r="F27">
        <f t="shared" si="4"/>
        <v>10</v>
      </c>
      <c r="G27" s="169">
        <f t="shared" si="5"/>
        <v>171.099999986</v>
      </c>
      <c r="L27" s="108">
        <f>INDEX(Starter!A:A,ROW()-1)</f>
        <v>7813</v>
      </c>
      <c r="M27">
        <f>INDEX(SchnittGes3!M:M,MATCH(L27,SchnittGes3!L:L,0))+INDEX(Schnitt4!M:M,MATCH(L27,Schnitt4!L:L,0))</f>
        <v>2616</v>
      </c>
      <c r="N27">
        <f>INDEX(SchnittGes3!N:N,MATCH(L27,SchnittGes3!L:L,0))+INDEX(Schnitt4!N:N,MATCH(L27,Schnitt4!L:L,0))</f>
        <v>14</v>
      </c>
      <c r="O27">
        <f t="shared" si="0"/>
        <v>186.85714283014286</v>
      </c>
      <c r="P27">
        <f t="shared" si="1"/>
        <v>7</v>
      </c>
    </row>
    <row r="28" spans="1:16" x14ac:dyDescent="0.2">
      <c r="A28">
        <f t="shared" si="6"/>
        <v>24</v>
      </c>
      <c r="B28">
        <f t="shared" si="2"/>
        <v>7283</v>
      </c>
      <c r="C28" t="str">
        <f>IFERROR(INDEX(Starter!B:B,MATCH(B28,Starter!A:A,0)),"")</f>
        <v>Pichl, Jürgen</v>
      </c>
      <c r="D28" t="str">
        <f>IFERROR(INDEX(Starter!C:C,MATCH(B28,Starter!A:A,0)),"")</f>
        <v>BC Herzogenaurach</v>
      </c>
      <c r="E28" s="92">
        <f t="shared" si="3"/>
        <v>2547</v>
      </c>
      <c r="F28">
        <f t="shared" si="4"/>
        <v>15</v>
      </c>
      <c r="G28" s="169">
        <f t="shared" si="5"/>
        <v>169.79999997900001</v>
      </c>
      <c r="L28" s="108">
        <f>INDEX(Starter!A:A,ROW()-1)</f>
        <v>7730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0"/>
        <v>0</v>
      </c>
      <c r="P28">
        <f t="shared" si="1"/>
        <v>38</v>
      </c>
    </row>
    <row r="29" spans="1:16" x14ac:dyDescent="0.2">
      <c r="A29">
        <f t="shared" si="6"/>
        <v>25</v>
      </c>
      <c r="B29">
        <f t="shared" si="2"/>
        <v>38570</v>
      </c>
      <c r="C29" t="str">
        <f>IFERROR(INDEX(Starter!B:B,MATCH(B29,Starter!A:A,0)),"")</f>
        <v>Bothe, Willi</v>
      </c>
      <c r="D29" t="str">
        <f>IFERROR(INDEX(Starter!C:C,MATCH(B29,Starter!A:A,0)),"")</f>
        <v>BC Castra Regina Regensburg</v>
      </c>
      <c r="E29" s="92">
        <f t="shared" si="3"/>
        <v>2191</v>
      </c>
      <c r="F29">
        <f t="shared" si="4"/>
        <v>13</v>
      </c>
      <c r="G29" s="169">
        <f t="shared" si="5"/>
        <v>168.53846150346155</v>
      </c>
      <c r="L29" s="108">
        <f>INDEX(Starter!A:A,ROW()-1)</f>
        <v>25130</v>
      </c>
      <c r="M29">
        <f>INDEX(SchnittGes3!M:M,MATCH(L29,SchnittGes3!L:L,0))+INDEX(Schnitt4!M:M,MATCH(L29,Schnitt4!L:L,0))</f>
        <v>2156</v>
      </c>
      <c r="N29">
        <f>INDEX(SchnittGes3!N:N,MATCH(L29,SchnittGes3!L:L,0))+INDEX(Schnitt4!N:N,MATCH(L29,Schnitt4!L:L,0))</f>
        <v>12</v>
      </c>
      <c r="O29">
        <f t="shared" si="0"/>
        <v>179.66666663766665</v>
      </c>
      <c r="P29">
        <f t="shared" si="1"/>
        <v>13</v>
      </c>
    </row>
    <row r="30" spans="1:16" x14ac:dyDescent="0.2">
      <c r="A30">
        <f t="shared" si="6"/>
        <v>26</v>
      </c>
      <c r="B30">
        <f t="shared" si="2"/>
        <v>38823</v>
      </c>
      <c r="C30" t="str">
        <f>IFERROR(INDEX(Starter!B:B,MATCH(B30,Starter!A:A,0)),"")</f>
        <v>Sommerer, Stefan</v>
      </c>
      <c r="D30" t="str">
        <f>IFERROR(INDEX(Starter!C:C,MATCH(B30,Starter!A:A,0)),"")</f>
        <v>Kings Club Bayreuth</v>
      </c>
      <c r="E30" s="92">
        <f t="shared" si="3"/>
        <v>3368</v>
      </c>
      <c r="F30">
        <f t="shared" si="4"/>
        <v>20</v>
      </c>
      <c r="G30" s="169">
        <f t="shared" si="5"/>
        <v>168.399999984</v>
      </c>
      <c r="L30" s="108">
        <f>INDEX(Starter!A:A,ROW()-1)</f>
        <v>7854</v>
      </c>
      <c r="M30">
        <f>INDEX(SchnittGes3!M:M,MATCH(L30,SchnittGes3!L:L,0))+INDEX(Schnitt4!M:M,MATCH(L30,Schnitt4!L:L,0))</f>
        <v>0</v>
      </c>
      <c r="N30">
        <f>INDEX(SchnittGes3!N:N,MATCH(L30,SchnittGes3!L:L,0))+INDEX(Schnitt4!N:N,MATCH(L30,Schnitt4!L:L,0))</f>
        <v>0</v>
      </c>
      <c r="O30">
        <f t="shared" si="0"/>
        <v>0</v>
      </c>
      <c r="P30">
        <f t="shared" si="1"/>
        <v>38</v>
      </c>
    </row>
    <row r="31" spans="1:16" x14ac:dyDescent="0.2">
      <c r="A31">
        <f t="shared" si="6"/>
        <v>27</v>
      </c>
      <c r="B31">
        <f t="shared" si="2"/>
        <v>7761</v>
      </c>
      <c r="C31" t="str">
        <f>IFERROR(INDEX(Starter!B:B,MATCH(B31,Starter!A:A,0)),"")</f>
        <v>Schmitt, Peter</v>
      </c>
      <c r="D31" t="str">
        <f>IFERROR(INDEX(Starter!C:C,MATCH(B31,Starter!A:A,0)),"")</f>
        <v>BC Adler Nürnberg</v>
      </c>
      <c r="E31" s="92">
        <f t="shared" si="3"/>
        <v>2857</v>
      </c>
      <c r="F31">
        <f t="shared" si="4"/>
        <v>17</v>
      </c>
      <c r="G31" s="169">
        <f t="shared" si="5"/>
        <v>168.05882349141177</v>
      </c>
      <c r="L31" s="108">
        <f>INDEX(Starter!A:A,ROW()-1)</f>
        <v>7849</v>
      </c>
      <c r="M31">
        <f>INDEX(SchnittGes3!M:M,MATCH(L31,SchnittGes3!L:L,0))+INDEX(Schnitt4!M:M,MATCH(L31,Schnitt4!L:L,0))</f>
        <v>2648</v>
      </c>
      <c r="N31">
        <f>INDEX(SchnittGes3!N:N,MATCH(L31,SchnittGes3!L:L,0))+INDEX(Schnitt4!N:N,MATCH(L31,Schnitt4!L:L,0))</f>
        <v>15</v>
      </c>
      <c r="O31">
        <f t="shared" si="0"/>
        <v>176.53333330233332</v>
      </c>
      <c r="P31">
        <f t="shared" si="1"/>
        <v>17</v>
      </c>
    </row>
    <row r="32" spans="1:16" x14ac:dyDescent="0.2">
      <c r="A32">
        <f t="shared" si="6"/>
        <v>28</v>
      </c>
      <c r="B32">
        <f t="shared" si="2"/>
        <v>38509</v>
      </c>
      <c r="C32" t="str">
        <f>IFERROR(INDEX(Starter!B:B,MATCH(B32,Starter!A:A,0)),"")</f>
        <v>Zahiri, Ali</v>
      </c>
      <c r="D32" t="str">
        <f>IFERROR(INDEX(Starter!C:C,MATCH(B32,Starter!A:A,0)),"")</f>
        <v>Kings Club Bayreuth</v>
      </c>
      <c r="E32" s="92">
        <f t="shared" si="3"/>
        <v>3256</v>
      </c>
      <c r="F32">
        <f t="shared" si="4"/>
        <v>20</v>
      </c>
      <c r="G32" s="169">
        <f t="shared" si="5"/>
        <v>162.79999998300002</v>
      </c>
      <c r="L32" s="108">
        <f>INDEX(Starter!A:A,ROW()-1)</f>
        <v>38869</v>
      </c>
      <c r="M32">
        <f>INDEX(SchnittGes3!M:M,MATCH(L32,SchnittGes3!L:L,0))+INDEX(Schnitt4!M:M,MATCH(L32,Schnitt4!L:L,0))</f>
        <v>1707</v>
      </c>
      <c r="N32">
        <f>INDEX(SchnittGes3!N:N,MATCH(L32,SchnittGes3!L:L,0))+INDEX(Schnitt4!N:N,MATCH(L32,Schnitt4!L:L,0))</f>
        <v>11</v>
      </c>
      <c r="O32">
        <f t="shared" si="0"/>
        <v>155.18181814981818</v>
      </c>
      <c r="P32">
        <f t="shared" si="1"/>
        <v>33</v>
      </c>
    </row>
    <row r="33" spans="1:16" x14ac:dyDescent="0.2">
      <c r="A33">
        <f t="shared" si="6"/>
        <v>29</v>
      </c>
      <c r="B33">
        <f t="shared" si="2"/>
        <v>25944</v>
      </c>
      <c r="C33" t="str">
        <f>IFERROR(INDEX(Starter!B:B,MATCH(B33,Starter!A:A,0)),"")</f>
        <v>Kohl, Oswald</v>
      </c>
      <c r="D33" t="str">
        <f>IFERROR(INDEX(Starter!C:C,MATCH(B33,Starter!A:A,0)),"")</f>
        <v>BC Adler Nürnberg</v>
      </c>
      <c r="E33" s="92">
        <f t="shared" si="3"/>
        <v>1301</v>
      </c>
      <c r="F33">
        <f t="shared" si="4"/>
        <v>8</v>
      </c>
      <c r="G33" s="169">
        <f t="shared" si="5"/>
        <v>162.62499995900001</v>
      </c>
      <c r="L33" s="108">
        <f>INDEX(Starter!A:A,ROW()-1)</f>
        <v>25895</v>
      </c>
      <c r="M33">
        <f>INDEX(SchnittGes3!M:M,MATCH(L33,SchnittGes3!L:L,0))+INDEX(Schnitt4!M:M,MATCH(L33,Schnitt4!L:L,0))</f>
        <v>1995</v>
      </c>
      <c r="N33">
        <f>INDEX(SchnittGes3!N:N,MATCH(L33,SchnittGes3!L:L,0))+INDEX(Schnitt4!N:N,MATCH(L33,Schnitt4!L:L,0))</f>
        <v>11</v>
      </c>
      <c r="O33">
        <f t="shared" si="0"/>
        <v>181.36363633063638</v>
      </c>
      <c r="P33">
        <f t="shared" si="1"/>
        <v>12</v>
      </c>
    </row>
    <row r="34" spans="1:16" x14ac:dyDescent="0.2">
      <c r="A34">
        <f t="shared" si="6"/>
        <v>30</v>
      </c>
      <c r="B34">
        <f t="shared" si="2"/>
        <v>25479</v>
      </c>
      <c r="C34" t="str">
        <f>IFERROR(INDEX(Starter!B:B,MATCH(B34,Starter!A:A,0)),"")</f>
        <v>Theisen, Alexander</v>
      </c>
      <c r="D34" t="str">
        <f>IFERROR(INDEX(Starter!C:C,MATCH(B34,Starter!A:A,0)),"")</f>
        <v>Kings Club Bayreuth</v>
      </c>
      <c r="E34" s="92">
        <f t="shared" si="3"/>
        <v>2364</v>
      </c>
      <c r="F34">
        <f t="shared" si="4"/>
        <v>15</v>
      </c>
      <c r="G34" s="169">
        <f t="shared" si="5"/>
        <v>157.59999999600001</v>
      </c>
      <c r="L34" s="108">
        <f>INDEX(Starter!A:A,ROW()-1)</f>
        <v>38260</v>
      </c>
      <c r="M34">
        <f>INDEX(SchnittGes3!M:M,MATCH(L34,SchnittGes3!L:L,0))+INDEX(Schnitt4!M:M,MATCH(L34,Schnitt4!L:L,0))</f>
        <v>949</v>
      </c>
      <c r="N34">
        <f>INDEX(SchnittGes3!N:N,MATCH(L34,SchnittGes3!L:L,0))+INDEX(Schnitt4!N:N,MATCH(L34,Schnitt4!L:L,0))</f>
        <v>5</v>
      </c>
      <c r="O34">
        <f t="shared" si="0"/>
        <v>189.799999966</v>
      </c>
      <c r="P34">
        <f t="shared" si="1"/>
        <v>2</v>
      </c>
    </row>
    <row r="35" spans="1:16" x14ac:dyDescent="0.2">
      <c r="A35">
        <f t="shared" si="6"/>
        <v>31</v>
      </c>
      <c r="B35">
        <f t="shared" si="2"/>
        <v>38870</v>
      </c>
      <c r="C35" t="str">
        <f>IFERROR(INDEX(Starter!B:B,MATCH(B35,Starter!A:A,0)),"")</f>
        <v>Martin, Dennis</v>
      </c>
      <c r="D35" t="str">
        <f>IFERROR(INDEX(Starter!C:C,MATCH(B35,Starter!A:A,0)),"")</f>
        <v>BC Castra Regina Regensburg</v>
      </c>
      <c r="E35" s="92">
        <f t="shared" si="3"/>
        <v>3143</v>
      </c>
      <c r="F35">
        <f t="shared" si="4"/>
        <v>20</v>
      </c>
      <c r="G35" s="169">
        <f t="shared" si="5"/>
        <v>157.149999976</v>
      </c>
      <c r="L35" s="108">
        <f>INDEX(Starter!A:A,ROW()-1)</f>
        <v>38570</v>
      </c>
      <c r="M35">
        <f>INDEX(SchnittGes3!M:M,MATCH(L35,SchnittGes3!L:L,0))+INDEX(Schnitt4!M:M,MATCH(L35,Schnitt4!L:L,0))</f>
        <v>2191</v>
      </c>
      <c r="N35">
        <f>INDEX(SchnittGes3!N:N,MATCH(L35,SchnittGes3!L:L,0))+INDEX(Schnitt4!N:N,MATCH(L35,Schnitt4!L:L,0))</f>
        <v>13</v>
      </c>
      <c r="O35">
        <f t="shared" si="0"/>
        <v>168.53846150346155</v>
      </c>
      <c r="P35">
        <f t="shared" si="1"/>
        <v>25</v>
      </c>
    </row>
    <row r="36" spans="1:16" x14ac:dyDescent="0.2">
      <c r="A36">
        <f t="shared" si="6"/>
        <v>32</v>
      </c>
      <c r="B36">
        <f t="shared" si="2"/>
        <v>7809</v>
      </c>
      <c r="C36" t="str">
        <f>IFERROR(INDEX(Starter!B:B,MATCH(B36,Starter!A:A,0)),"")</f>
        <v>Graml, Christian</v>
      </c>
      <c r="D36" t="str">
        <f>IFERROR(INDEX(Starter!C:C,MATCH(B36,Starter!A:A,0)),"")</f>
        <v>BC Castra Regina Regensburg</v>
      </c>
      <c r="E36" s="92">
        <f t="shared" si="3"/>
        <v>313</v>
      </c>
      <c r="F36">
        <f t="shared" si="4"/>
        <v>2</v>
      </c>
      <c r="G36" s="169">
        <f t="shared" si="5"/>
        <v>156.49999997500001</v>
      </c>
      <c r="L36" s="108">
        <f>INDEX(Starter!A:A,ROW()-1)</f>
        <v>25723</v>
      </c>
      <c r="M36">
        <f>INDEX(SchnittGes3!M:M,MATCH(L36,SchnittGes3!L:L,0))+INDEX(Schnitt4!M:M,MATCH(L36,Schnitt4!L:L,0))</f>
        <v>1875</v>
      </c>
      <c r="N36">
        <f>INDEX(SchnittGes3!N:N,MATCH(L36,SchnittGes3!L:L,0))+INDEX(Schnitt4!N:N,MATCH(L36,Schnitt4!L:L,0))</f>
        <v>10</v>
      </c>
      <c r="O36">
        <f t="shared" si="0"/>
        <v>187.49999996400001</v>
      </c>
      <c r="P36">
        <f t="shared" si="1"/>
        <v>6</v>
      </c>
    </row>
    <row r="37" spans="1:16" x14ac:dyDescent="0.2">
      <c r="A37">
        <f t="shared" si="6"/>
        <v>33</v>
      </c>
      <c r="B37">
        <f t="shared" si="2"/>
        <v>38869</v>
      </c>
      <c r="C37" t="str">
        <f>IFERROR(INDEX(Starter!B:B,MATCH(B37,Starter!A:A,0)),"")</f>
        <v>Simon, Diana</v>
      </c>
      <c r="D37" t="str">
        <f>IFERROR(INDEX(Starter!C:C,MATCH(B37,Starter!A:A,0)),"")</f>
        <v>BC Castra Regina Regensburg</v>
      </c>
      <c r="E37" s="92">
        <f t="shared" si="3"/>
        <v>1707</v>
      </c>
      <c r="F37">
        <f t="shared" si="4"/>
        <v>11</v>
      </c>
      <c r="G37" s="169">
        <f t="shared" si="5"/>
        <v>155.18181814981818</v>
      </c>
      <c r="L37" s="108">
        <f>INDEX(Starter!A:A,ROW()-1)</f>
        <v>7816</v>
      </c>
      <c r="M37">
        <f>INDEX(SchnittGes3!M:M,MATCH(L37,SchnittGes3!L:L,0))+INDEX(Schnitt4!M:M,MATCH(L37,Schnitt4!L:L,0))</f>
        <v>919</v>
      </c>
      <c r="N37">
        <f>INDEX(SchnittGes3!N:N,MATCH(L37,SchnittGes3!L:L,0))+INDEX(Schnitt4!N:N,MATCH(L37,Schnitt4!L:L,0))</f>
        <v>5</v>
      </c>
      <c r="O37">
        <f t="shared" si="0"/>
        <v>183.799999963</v>
      </c>
      <c r="P37">
        <f t="shared" si="1"/>
        <v>9</v>
      </c>
    </row>
    <row r="38" spans="1:16" x14ac:dyDescent="0.2">
      <c r="A38">
        <f t="shared" si="6"/>
        <v>34</v>
      </c>
      <c r="B38">
        <f t="shared" si="2"/>
        <v>16897</v>
      </c>
      <c r="C38" t="str">
        <f>IFERROR(INDEX(Starter!B:B,MATCH(B38,Starter!A:A,0)),"")</f>
        <v>Hertel, Jürgen</v>
      </c>
      <c r="D38" t="str">
        <f>IFERROR(INDEX(Starter!C:C,MATCH(B38,Starter!A:A,0)),"")</f>
        <v>BC Herzogenaurach</v>
      </c>
      <c r="E38" s="92">
        <f t="shared" si="3"/>
        <v>305</v>
      </c>
      <c r="F38">
        <f t="shared" si="4"/>
        <v>2</v>
      </c>
      <c r="G38" s="169">
        <f t="shared" si="5"/>
        <v>152.49999995600001</v>
      </c>
      <c r="L38" s="108">
        <f>INDEX(Starter!A:A,ROW()-1)</f>
        <v>7761</v>
      </c>
      <c r="M38">
        <f>INDEX(SchnittGes3!M:M,MATCH(L38,SchnittGes3!L:L,0))+INDEX(Schnitt4!M:M,MATCH(L38,Schnitt4!L:L,0))</f>
        <v>2857</v>
      </c>
      <c r="N38">
        <f>INDEX(SchnittGes3!N:N,MATCH(L38,SchnittGes3!L:L,0))+INDEX(Schnitt4!N:N,MATCH(L38,Schnitt4!L:L,0))</f>
        <v>17</v>
      </c>
      <c r="O38">
        <f t="shared" si="0"/>
        <v>168.05882349141177</v>
      </c>
      <c r="P38">
        <f t="shared" si="1"/>
        <v>27</v>
      </c>
    </row>
    <row r="39" spans="1:16" x14ac:dyDescent="0.2">
      <c r="A39">
        <f t="shared" si="6"/>
        <v>35</v>
      </c>
      <c r="B39">
        <f t="shared" si="2"/>
        <v>38507</v>
      </c>
      <c r="C39" t="str">
        <f>IFERROR(INDEX(Starter!B:B,MATCH(B39,Starter!A:A,0)),"")</f>
        <v>Piehl, Fred</v>
      </c>
      <c r="D39" t="str">
        <f>IFERROR(INDEX(Starter!C:C,MATCH(B39,Starter!A:A,0)),"")</f>
        <v>Kings Club Bayreuth</v>
      </c>
      <c r="E39" s="92">
        <f t="shared" si="3"/>
        <v>444</v>
      </c>
      <c r="F39">
        <f t="shared" si="4"/>
        <v>3</v>
      </c>
      <c r="G39" s="169">
        <f t="shared" si="5"/>
        <v>147.99999999400001</v>
      </c>
      <c r="L39" s="108">
        <f>INDEX(Starter!A:A,ROW()-1)</f>
        <v>7714</v>
      </c>
      <c r="M39">
        <f>INDEX(SchnittGes3!M:M,MATCH(L39,SchnittGes3!L:L,0))+INDEX(Schnitt4!M:M,MATCH(L39,Schnitt4!L:L,0))</f>
        <v>2623</v>
      </c>
      <c r="N39">
        <f>INDEX(SchnittGes3!N:N,MATCH(L39,SchnittGes3!L:L,0))+INDEX(Schnitt4!N:N,MATCH(L39,Schnitt4!L:L,0))</f>
        <v>15</v>
      </c>
      <c r="O39">
        <f t="shared" si="0"/>
        <v>174.86666662766666</v>
      </c>
      <c r="P39">
        <f t="shared" si="1"/>
        <v>19</v>
      </c>
    </row>
    <row r="40" spans="1:16" x14ac:dyDescent="0.2">
      <c r="A40">
        <f t="shared" si="6"/>
        <v>36</v>
      </c>
      <c r="B40">
        <f t="shared" si="2"/>
        <v>7123</v>
      </c>
      <c r="C40" t="str">
        <f>IFERROR(INDEX(Starter!B:B,MATCH(B40,Starter!A:A,0)),"")</f>
        <v>Reichert, Roland</v>
      </c>
      <c r="D40" t="str">
        <f>IFERROR(INDEX(Starter!C:C,MATCH(B40,Starter!A:A,0)),"")</f>
        <v>Kings Club Bayreuth</v>
      </c>
      <c r="E40" s="92">
        <f t="shared" si="3"/>
        <v>2911</v>
      </c>
      <c r="F40">
        <f t="shared" si="4"/>
        <v>20</v>
      </c>
      <c r="G40" s="169">
        <f t="shared" si="5"/>
        <v>145.54999999700001</v>
      </c>
      <c r="L40" s="108">
        <f>INDEX(Starter!A:A,ROW()-1)</f>
        <v>25811</v>
      </c>
      <c r="M40">
        <f>INDEX(SchnittGes3!M:M,MATCH(L40,SchnittGes3!L:L,0))+INDEX(Schnitt4!M:M,MATCH(L40,Schnitt4!L:L,0))</f>
        <v>3442</v>
      </c>
      <c r="N40">
        <f>INDEX(SchnittGes3!N:N,MATCH(L40,SchnittGes3!L:L,0))+INDEX(Schnitt4!N:N,MATCH(L40,Schnitt4!L:L,0))</f>
        <v>20</v>
      </c>
      <c r="O40">
        <f t="shared" si="0"/>
        <v>172.09999995999999</v>
      </c>
      <c r="P40">
        <f t="shared" si="1"/>
        <v>22</v>
      </c>
    </row>
    <row r="41" spans="1:16" x14ac:dyDescent="0.2">
      <c r="A41">
        <f t="shared" si="6"/>
        <v>37</v>
      </c>
      <c r="B41">
        <f t="shared" si="2"/>
        <v>38152</v>
      </c>
      <c r="C41" t="str">
        <f>IFERROR(INDEX(Starter!B:B,MATCH(B41,Starter!A:A,0)),"")</f>
        <v>Hirsch, Edmund</v>
      </c>
      <c r="D41" t="str">
        <f>IFERROR(INDEX(Starter!C:C,MATCH(B41,Starter!A:A,0)),"")</f>
        <v>Kings Club Bayreuth</v>
      </c>
      <c r="E41" s="92">
        <f t="shared" si="3"/>
        <v>282</v>
      </c>
      <c r="F41">
        <f t="shared" si="4"/>
        <v>2</v>
      </c>
      <c r="G41" s="169">
        <f t="shared" si="5"/>
        <v>140.99999998800001</v>
      </c>
      <c r="L41" s="108">
        <f>INDEX(Starter!A:A,ROW()-1)</f>
        <v>25944</v>
      </c>
      <c r="M41">
        <f>INDEX(SchnittGes3!M:M,MATCH(L41,SchnittGes3!L:L,0))+INDEX(Schnitt4!M:M,MATCH(L41,Schnitt4!L:L,0))</f>
        <v>1301</v>
      </c>
      <c r="N41">
        <f>INDEX(SchnittGes3!N:N,MATCH(L41,SchnittGes3!L:L,0))+INDEX(Schnitt4!N:N,MATCH(L41,Schnitt4!L:L,0))</f>
        <v>8</v>
      </c>
      <c r="O41">
        <f t="shared" si="0"/>
        <v>162.62499995900001</v>
      </c>
      <c r="P41">
        <f t="shared" si="1"/>
        <v>29</v>
      </c>
    </row>
    <row r="42" spans="1:16" x14ac:dyDescent="0.2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92" t="str">
        <f t="shared" si="3"/>
        <v/>
      </c>
      <c r="F42" t="str">
        <f t="shared" si="4"/>
        <v/>
      </c>
      <c r="G42" s="169" t="str">
        <f t="shared" si="5"/>
        <v/>
      </c>
      <c r="L42" s="108">
        <f>INDEX(Starter!A:A,ROW()-1)</f>
        <v>16707</v>
      </c>
      <c r="M42">
        <f>INDEX(SchnittGes3!M:M,MATCH(L42,SchnittGes3!L:L,0))+INDEX(Schnitt4!M:M,MATCH(L42,Schnitt4!L:L,0))</f>
        <v>3578</v>
      </c>
      <c r="N42">
        <f>INDEX(SchnittGes3!N:N,MATCH(L42,SchnittGes3!L:L,0))+INDEX(Schnitt4!N:N,MATCH(L42,Schnitt4!L:L,0))</f>
        <v>20</v>
      </c>
      <c r="O42">
        <f t="shared" si="0"/>
        <v>178.899999958</v>
      </c>
      <c r="P42">
        <f t="shared" si="1"/>
        <v>16</v>
      </c>
    </row>
    <row r="43" spans="1:16" x14ac:dyDescent="0.2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92" t="str">
        <f t="shared" si="3"/>
        <v/>
      </c>
      <c r="F43" t="str">
        <f t="shared" si="4"/>
        <v/>
      </c>
      <c r="G43" s="169" t="str">
        <f t="shared" si="5"/>
        <v/>
      </c>
      <c r="L43" s="108">
        <f>INDEX(Starter!A:A,ROW()-1)</f>
        <v>25760</v>
      </c>
      <c r="M43">
        <f>INDEX(SchnittGes3!M:M,MATCH(L43,SchnittGes3!L:L,0))+INDEX(Schnitt4!M:M,MATCH(L43,Schnitt4!L:L,0))</f>
        <v>3766</v>
      </c>
      <c r="N43">
        <f>INDEX(SchnittGes3!N:N,MATCH(L43,SchnittGes3!L:L,0))+INDEX(Schnitt4!N:N,MATCH(L43,Schnitt4!L:L,0))</f>
        <v>20</v>
      </c>
      <c r="O43">
        <f t="shared" si="0"/>
        <v>188.29999995700001</v>
      </c>
      <c r="P43">
        <f t="shared" si="1"/>
        <v>4</v>
      </c>
    </row>
    <row r="44" spans="1:16" x14ac:dyDescent="0.2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92" t="str">
        <f t="shared" si="3"/>
        <v/>
      </c>
      <c r="F44" t="str">
        <f t="shared" si="4"/>
        <v/>
      </c>
      <c r="G44" s="169" t="str">
        <f t="shared" si="5"/>
        <v/>
      </c>
      <c r="L44" s="108">
        <f>INDEX(Starter!A:A,ROW()-1)</f>
        <v>16897</v>
      </c>
      <c r="M44">
        <f>INDEX(SchnittGes3!M:M,MATCH(L44,SchnittGes3!L:L,0))+INDEX(Schnitt4!M:M,MATCH(L44,Schnitt4!L:L,0))</f>
        <v>305</v>
      </c>
      <c r="N44">
        <f>INDEX(SchnittGes3!N:N,MATCH(L44,SchnittGes3!L:L,0))+INDEX(Schnitt4!N:N,MATCH(L44,Schnitt4!L:L,0))</f>
        <v>2</v>
      </c>
      <c r="O44">
        <f t="shared" si="0"/>
        <v>152.49999995600001</v>
      </c>
      <c r="P44">
        <f t="shared" si="1"/>
        <v>34</v>
      </c>
    </row>
    <row r="45" spans="1:16" x14ac:dyDescent="0.2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92" t="str">
        <f t="shared" si="3"/>
        <v/>
      </c>
      <c r="F45" t="str">
        <f t="shared" si="4"/>
        <v/>
      </c>
      <c r="G45" s="169" t="str">
        <f t="shared" si="5"/>
        <v/>
      </c>
      <c r="L45" s="108">
        <f>INDEX(Starter!A:A,ROW()-1)</f>
        <v>7126</v>
      </c>
      <c r="M45">
        <f>INDEX(SchnittGes3!M:M,MATCH(L45,SchnittGes3!L:L,0))+INDEX(Schnitt4!M:M,MATCH(L45,Schnitt4!L:L,0))</f>
        <v>0</v>
      </c>
      <c r="N45">
        <f>INDEX(SchnittGes3!N:N,MATCH(L45,SchnittGes3!L:L,0))+INDEX(Schnitt4!N:N,MATCH(L45,Schnitt4!L:L,0))</f>
        <v>0</v>
      </c>
      <c r="O45">
        <f t="shared" si="0"/>
        <v>0</v>
      </c>
      <c r="P45">
        <f t="shared" si="1"/>
        <v>38</v>
      </c>
    </row>
    <row r="46" spans="1:16" x14ac:dyDescent="0.2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92" t="str">
        <f t="shared" si="3"/>
        <v/>
      </c>
      <c r="F46" t="str">
        <f t="shared" si="4"/>
        <v/>
      </c>
      <c r="G46" s="169" t="str">
        <f t="shared" si="5"/>
        <v/>
      </c>
      <c r="L46" s="108">
        <f>INDEX(Starter!A:A,ROW()-1)</f>
        <v>0</v>
      </c>
      <c r="M46">
        <f>INDEX(SchnittGes3!M:M,MATCH(L46,SchnittGes3!L:L,0))+INDEX(Schnitt4!M:M,MATCH(L46,Schnitt4!L:L,0))</f>
        <v>0</v>
      </c>
      <c r="N46">
        <f>INDEX(SchnittGes3!N:N,MATCH(L46,SchnittGes3!L:L,0))+INDEX(Schnitt4!N:N,MATCH(L46,Schnitt4!L:L,0))</f>
        <v>0</v>
      </c>
      <c r="O46">
        <f t="shared" si="0"/>
        <v>0</v>
      </c>
      <c r="P46">
        <f t="shared" si="1"/>
        <v>38</v>
      </c>
    </row>
    <row r="47" spans="1:16" x14ac:dyDescent="0.2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92" t="str">
        <f t="shared" si="3"/>
        <v/>
      </c>
      <c r="F47" t="str">
        <f t="shared" si="4"/>
        <v/>
      </c>
      <c r="G47" s="169" t="str">
        <f t="shared" si="5"/>
        <v/>
      </c>
      <c r="L47" s="108">
        <f>INDEX(Starter!A:A,ROW()-1)</f>
        <v>0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0"/>
        <v>0</v>
      </c>
      <c r="P47">
        <f t="shared" si="1"/>
        <v>38</v>
      </c>
    </row>
    <row r="48" spans="1:16" x14ac:dyDescent="0.2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92" t="str">
        <f t="shared" si="3"/>
        <v/>
      </c>
      <c r="F48" t="str">
        <f t="shared" si="4"/>
        <v/>
      </c>
      <c r="G48" s="169" t="str">
        <f t="shared" si="5"/>
        <v/>
      </c>
      <c r="L48" s="108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38</v>
      </c>
    </row>
    <row r="49" spans="1:16" x14ac:dyDescent="0.2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92" t="str">
        <f t="shared" si="3"/>
        <v/>
      </c>
      <c r="F49" t="str">
        <f t="shared" si="4"/>
        <v/>
      </c>
      <c r="G49" s="169" t="str">
        <f t="shared" si="5"/>
        <v/>
      </c>
      <c r="L49" s="108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38</v>
      </c>
    </row>
    <row r="50" spans="1:16" x14ac:dyDescent="0.2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92" t="str">
        <f t="shared" si="3"/>
        <v/>
      </c>
      <c r="F50" t="str">
        <f t="shared" si="4"/>
        <v/>
      </c>
      <c r="G50" s="169" t="str">
        <f t="shared" si="5"/>
        <v/>
      </c>
      <c r="L50" s="108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38</v>
      </c>
    </row>
    <row r="51" spans="1:16" x14ac:dyDescent="0.2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92" t="str">
        <f t="shared" si="3"/>
        <v/>
      </c>
      <c r="F51" t="str">
        <f t="shared" si="4"/>
        <v/>
      </c>
      <c r="G51" s="169" t="str">
        <f t="shared" si="5"/>
        <v/>
      </c>
      <c r="L51" s="108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38</v>
      </c>
    </row>
    <row r="52" spans="1:16" x14ac:dyDescent="0.2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92" t="str">
        <f t="shared" si="3"/>
        <v/>
      </c>
      <c r="F52" t="str">
        <f t="shared" si="4"/>
        <v/>
      </c>
      <c r="G52" s="169" t="str">
        <f t="shared" si="5"/>
        <v/>
      </c>
      <c r="L52" s="108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38</v>
      </c>
    </row>
    <row r="53" spans="1:16" x14ac:dyDescent="0.2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92" t="str">
        <f t="shared" si="3"/>
        <v/>
      </c>
      <c r="F53" t="str">
        <f t="shared" si="4"/>
        <v/>
      </c>
      <c r="G53" s="169" t="str">
        <f t="shared" si="5"/>
        <v/>
      </c>
      <c r="L53" s="108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38</v>
      </c>
    </row>
    <row r="54" spans="1:16" x14ac:dyDescent="0.2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92" t="str">
        <f t="shared" si="3"/>
        <v/>
      </c>
      <c r="F54" t="str">
        <f t="shared" si="4"/>
        <v/>
      </c>
      <c r="G54" s="169" t="str">
        <f t="shared" si="5"/>
        <v/>
      </c>
      <c r="L54" s="108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38</v>
      </c>
    </row>
    <row r="55" spans="1:16" x14ac:dyDescent="0.2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92" t="str">
        <f t="shared" si="3"/>
        <v/>
      </c>
      <c r="F55" t="str">
        <f t="shared" si="4"/>
        <v/>
      </c>
      <c r="G55" s="169" t="str">
        <f t="shared" si="5"/>
        <v/>
      </c>
      <c r="L55" s="108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38</v>
      </c>
    </row>
    <row r="56" spans="1:16" x14ac:dyDescent="0.2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92" t="str">
        <f t="shared" si="3"/>
        <v/>
      </c>
      <c r="F56" t="str">
        <f t="shared" si="4"/>
        <v/>
      </c>
      <c r="G56" s="169" t="str">
        <f t="shared" si="5"/>
        <v/>
      </c>
      <c r="L56" s="108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38</v>
      </c>
    </row>
    <row r="57" spans="1:16" x14ac:dyDescent="0.2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92" t="str">
        <f t="shared" si="3"/>
        <v/>
      </c>
      <c r="F57" t="str">
        <f t="shared" si="4"/>
        <v/>
      </c>
      <c r="G57" s="169" t="str">
        <f t="shared" si="5"/>
        <v/>
      </c>
      <c r="L57" s="108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38</v>
      </c>
    </row>
    <row r="58" spans="1:16" x14ac:dyDescent="0.2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92" t="str">
        <f t="shared" si="3"/>
        <v/>
      </c>
      <c r="F58" t="str">
        <f t="shared" si="4"/>
        <v/>
      </c>
      <c r="G58" s="169" t="str">
        <f t="shared" si="5"/>
        <v/>
      </c>
      <c r="L58" s="108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38</v>
      </c>
    </row>
    <row r="59" spans="1:16" x14ac:dyDescent="0.2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92" t="str">
        <f t="shared" si="3"/>
        <v/>
      </c>
      <c r="F59" t="str">
        <f t="shared" si="4"/>
        <v/>
      </c>
      <c r="G59" s="169" t="str">
        <f t="shared" si="5"/>
        <v/>
      </c>
      <c r="L59" s="108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38</v>
      </c>
    </row>
    <row r="60" spans="1:16" x14ac:dyDescent="0.2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92" t="str">
        <f t="shared" si="3"/>
        <v/>
      </c>
      <c r="F60" t="str">
        <f t="shared" si="4"/>
        <v/>
      </c>
      <c r="G60" s="169" t="str">
        <f t="shared" si="5"/>
        <v/>
      </c>
      <c r="L60" s="108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38</v>
      </c>
    </row>
    <row r="61" spans="1:16" x14ac:dyDescent="0.2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92" t="str">
        <f t="shared" si="3"/>
        <v/>
      </c>
      <c r="F61" t="str">
        <f t="shared" si="4"/>
        <v/>
      </c>
      <c r="G61" s="169" t="str">
        <f t="shared" si="5"/>
        <v/>
      </c>
      <c r="L61" s="108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38</v>
      </c>
    </row>
    <row r="62" spans="1:16" x14ac:dyDescent="0.2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92" t="str">
        <f t="shared" si="3"/>
        <v/>
      </c>
      <c r="F62" t="str">
        <f t="shared" si="4"/>
        <v/>
      </c>
      <c r="G62" s="169" t="str">
        <f t="shared" si="5"/>
        <v/>
      </c>
      <c r="L62" s="108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38</v>
      </c>
    </row>
    <row r="63" spans="1:16" x14ac:dyDescent="0.2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92" t="str">
        <f t="shared" si="3"/>
        <v/>
      </c>
      <c r="F63" t="str">
        <f t="shared" si="4"/>
        <v/>
      </c>
      <c r="G63" s="169" t="str">
        <f t="shared" si="5"/>
        <v/>
      </c>
      <c r="L63" s="108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38</v>
      </c>
    </row>
    <row r="64" spans="1:16" x14ac:dyDescent="0.2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92" t="str">
        <f t="shared" si="3"/>
        <v/>
      </c>
      <c r="F64" t="str">
        <f t="shared" si="4"/>
        <v/>
      </c>
      <c r="G64" s="169" t="str">
        <f t="shared" si="5"/>
        <v/>
      </c>
      <c r="L64" s="108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38</v>
      </c>
    </row>
    <row r="65" spans="1:16" x14ac:dyDescent="0.2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92" t="str">
        <f t="shared" si="3"/>
        <v/>
      </c>
      <c r="F65" t="str">
        <f t="shared" si="4"/>
        <v/>
      </c>
      <c r="G65" s="169" t="str">
        <f t="shared" si="5"/>
        <v/>
      </c>
      <c r="L65" s="108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38</v>
      </c>
    </row>
    <row r="66" spans="1:16" x14ac:dyDescent="0.2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92" t="str">
        <f t="shared" si="3"/>
        <v/>
      </c>
      <c r="F66" t="str">
        <f t="shared" si="4"/>
        <v/>
      </c>
      <c r="G66" s="169" t="str">
        <f t="shared" si="5"/>
        <v/>
      </c>
      <c r="L66" s="108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38</v>
      </c>
    </row>
    <row r="67" spans="1:16" x14ac:dyDescent="0.2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92" t="str">
        <f t="shared" si="3"/>
        <v/>
      </c>
      <c r="F67" t="str">
        <f t="shared" si="4"/>
        <v/>
      </c>
      <c r="G67" s="169" t="str">
        <f t="shared" si="5"/>
        <v/>
      </c>
      <c r="L67" s="108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38</v>
      </c>
    </row>
    <row r="68" spans="1:16" x14ac:dyDescent="0.2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92" t="str">
        <f t="shared" si="3"/>
        <v/>
      </c>
      <c r="F68" t="str">
        <f t="shared" si="4"/>
        <v/>
      </c>
      <c r="G68" s="169" t="str">
        <f t="shared" si="5"/>
        <v/>
      </c>
      <c r="L68" s="108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38</v>
      </c>
    </row>
    <row r="69" spans="1:16" x14ac:dyDescent="0.2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92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69" t="str">
        <f t="shared" ref="G69:G104" si="12">IFERROR(INDEX(O:O,MATCH(A69,P:P,0)),"")</f>
        <v/>
      </c>
      <c r="L69" s="108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38</v>
      </c>
    </row>
    <row r="70" spans="1:16" x14ac:dyDescent="0.2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92" t="str">
        <f t="shared" si="10"/>
        <v/>
      </c>
      <c r="F70" t="str">
        <f t="shared" si="11"/>
        <v/>
      </c>
      <c r="G70" s="169" t="str">
        <f t="shared" si="12"/>
        <v/>
      </c>
      <c r="L70" s="108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38</v>
      </c>
    </row>
    <row r="71" spans="1:16" x14ac:dyDescent="0.2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92" t="str">
        <f t="shared" si="10"/>
        <v/>
      </c>
      <c r="F71" t="str">
        <f t="shared" si="11"/>
        <v/>
      </c>
      <c r="G71" s="169" t="str">
        <f t="shared" si="12"/>
        <v/>
      </c>
      <c r="L71" s="108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38</v>
      </c>
    </row>
    <row r="72" spans="1:16" x14ac:dyDescent="0.2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92" t="str">
        <f t="shared" si="10"/>
        <v/>
      </c>
      <c r="F72" t="str">
        <f t="shared" si="11"/>
        <v/>
      </c>
      <c r="G72" s="169" t="str">
        <f t="shared" si="12"/>
        <v/>
      </c>
      <c r="L72" s="108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38</v>
      </c>
    </row>
    <row r="73" spans="1:16" x14ac:dyDescent="0.2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92" t="str">
        <f t="shared" si="10"/>
        <v/>
      </c>
      <c r="F73" t="str">
        <f t="shared" si="11"/>
        <v/>
      </c>
      <c r="G73" s="169" t="str">
        <f t="shared" si="12"/>
        <v/>
      </c>
      <c r="L73" s="108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38</v>
      </c>
    </row>
    <row r="74" spans="1:16" x14ac:dyDescent="0.2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92" t="str">
        <f t="shared" si="10"/>
        <v/>
      </c>
      <c r="F74" t="str">
        <f t="shared" si="11"/>
        <v/>
      </c>
      <c r="G74" s="169" t="str">
        <f t="shared" si="12"/>
        <v/>
      </c>
      <c r="L74" s="108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38</v>
      </c>
    </row>
    <row r="75" spans="1:16" x14ac:dyDescent="0.2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92" t="str">
        <f t="shared" si="10"/>
        <v/>
      </c>
      <c r="F75" t="str">
        <f t="shared" si="11"/>
        <v/>
      </c>
      <c r="G75" s="169" t="str">
        <f t="shared" si="12"/>
        <v/>
      </c>
      <c r="L75" s="108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38</v>
      </c>
    </row>
    <row r="76" spans="1:16" x14ac:dyDescent="0.2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92" t="str">
        <f t="shared" si="10"/>
        <v/>
      </c>
      <c r="F76" t="str">
        <f t="shared" si="11"/>
        <v/>
      </c>
      <c r="G76" s="169" t="str">
        <f t="shared" si="12"/>
        <v/>
      </c>
      <c r="L76" s="108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38</v>
      </c>
    </row>
    <row r="77" spans="1:16" x14ac:dyDescent="0.2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92" t="str">
        <f t="shared" si="10"/>
        <v/>
      </c>
      <c r="F77" t="str">
        <f t="shared" si="11"/>
        <v/>
      </c>
      <c r="G77" s="169" t="str">
        <f t="shared" si="12"/>
        <v/>
      </c>
      <c r="L77" s="108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38</v>
      </c>
    </row>
    <row r="78" spans="1:16" x14ac:dyDescent="0.2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92" t="str">
        <f t="shared" si="10"/>
        <v/>
      </c>
      <c r="F78" t="str">
        <f t="shared" si="11"/>
        <v/>
      </c>
      <c r="G78" s="169" t="str">
        <f t="shared" si="12"/>
        <v/>
      </c>
      <c r="L78" s="108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38</v>
      </c>
    </row>
    <row r="79" spans="1:16" x14ac:dyDescent="0.2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92" t="str">
        <f t="shared" si="10"/>
        <v/>
      </c>
      <c r="F79" t="str">
        <f t="shared" si="11"/>
        <v/>
      </c>
      <c r="G79" s="169" t="str">
        <f t="shared" si="12"/>
        <v/>
      </c>
      <c r="L79" s="108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38</v>
      </c>
    </row>
    <row r="80" spans="1:16" x14ac:dyDescent="0.2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92" t="str">
        <f t="shared" si="10"/>
        <v/>
      </c>
      <c r="F80" t="str">
        <f t="shared" si="11"/>
        <v/>
      </c>
      <c r="G80" s="169" t="str">
        <f t="shared" si="12"/>
        <v/>
      </c>
      <c r="L80" s="108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38</v>
      </c>
    </row>
    <row r="81" spans="1:16" x14ac:dyDescent="0.2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92" t="str">
        <f t="shared" si="10"/>
        <v/>
      </c>
      <c r="F81" t="str">
        <f t="shared" si="11"/>
        <v/>
      </c>
      <c r="G81" s="169" t="str">
        <f t="shared" si="12"/>
        <v/>
      </c>
      <c r="L81" s="108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38</v>
      </c>
    </row>
    <row r="82" spans="1:16" x14ac:dyDescent="0.2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92" t="str">
        <f t="shared" si="10"/>
        <v/>
      </c>
      <c r="F82" t="str">
        <f t="shared" si="11"/>
        <v/>
      </c>
      <c r="G82" s="169" t="str">
        <f t="shared" si="12"/>
        <v/>
      </c>
      <c r="L82" s="108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38</v>
      </c>
    </row>
    <row r="83" spans="1:16" x14ac:dyDescent="0.2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92" t="str">
        <f t="shared" si="10"/>
        <v/>
      </c>
      <c r="F83" t="str">
        <f t="shared" si="11"/>
        <v/>
      </c>
      <c r="G83" s="169" t="str">
        <f t="shared" si="12"/>
        <v/>
      </c>
      <c r="L83" s="108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38</v>
      </c>
    </row>
    <row r="84" spans="1:16" x14ac:dyDescent="0.2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92" t="str">
        <f t="shared" si="10"/>
        <v/>
      </c>
      <c r="F84" t="str">
        <f t="shared" si="11"/>
        <v/>
      </c>
      <c r="G84" s="169" t="str">
        <f t="shared" si="12"/>
        <v/>
      </c>
      <c r="L84" s="108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38</v>
      </c>
    </row>
    <row r="85" spans="1:16" x14ac:dyDescent="0.2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92" t="str">
        <f t="shared" si="10"/>
        <v/>
      </c>
      <c r="F85" t="str">
        <f t="shared" si="11"/>
        <v/>
      </c>
      <c r="G85" s="169" t="str">
        <f t="shared" si="12"/>
        <v/>
      </c>
      <c r="L85" s="108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38</v>
      </c>
    </row>
    <row r="86" spans="1:16" x14ac:dyDescent="0.2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92" t="str">
        <f t="shared" si="10"/>
        <v/>
      </c>
      <c r="F86" t="str">
        <f t="shared" si="11"/>
        <v/>
      </c>
      <c r="G86" s="169" t="str">
        <f t="shared" si="12"/>
        <v/>
      </c>
      <c r="L86" s="108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38</v>
      </c>
    </row>
    <row r="87" spans="1:16" x14ac:dyDescent="0.2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92" t="str">
        <f t="shared" si="10"/>
        <v/>
      </c>
      <c r="F87" t="str">
        <f t="shared" si="11"/>
        <v/>
      </c>
      <c r="G87" s="169" t="str">
        <f t="shared" si="12"/>
        <v/>
      </c>
      <c r="L87" s="108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38</v>
      </c>
    </row>
    <row r="88" spans="1:16" x14ac:dyDescent="0.2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92" t="str">
        <f t="shared" si="10"/>
        <v/>
      </c>
      <c r="F88" t="str">
        <f t="shared" si="11"/>
        <v/>
      </c>
      <c r="G88" s="169" t="str">
        <f t="shared" si="12"/>
        <v/>
      </c>
      <c r="L88" s="108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38</v>
      </c>
    </row>
    <row r="89" spans="1:16" x14ac:dyDescent="0.2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92" t="str">
        <f t="shared" si="10"/>
        <v/>
      </c>
      <c r="F89" t="str">
        <f t="shared" si="11"/>
        <v/>
      </c>
      <c r="G89" s="169" t="str">
        <f t="shared" si="12"/>
        <v/>
      </c>
      <c r="L89" s="108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38</v>
      </c>
    </row>
    <row r="90" spans="1:16" x14ac:dyDescent="0.2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92" t="str">
        <f t="shared" si="10"/>
        <v/>
      </c>
      <c r="F90" t="str">
        <f t="shared" si="11"/>
        <v/>
      </c>
      <c r="G90" s="169" t="str">
        <f t="shared" si="12"/>
        <v/>
      </c>
      <c r="L90" s="108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38</v>
      </c>
    </row>
    <row r="91" spans="1:16" x14ac:dyDescent="0.2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92" t="str">
        <f t="shared" si="10"/>
        <v/>
      </c>
      <c r="F91" t="str">
        <f t="shared" si="11"/>
        <v/>
      </c>
      <c r="G91" s="169" t="str">
        <f t="shared" si="12"/>
        <v/>
      </c>
      <c r="L91" s="108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38</v>
      </c>
    </row>
    <row r="92" spans="1:16" x14ac:dyDescent="0.2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92" t="str">
        <f t="shared" si="10"/>
        <v/>
      </c>
      <c r="F92" t="str">
        <f t="shared" si="11"/>
        <v/>
      </c>
      <c r="G92" s="169" t="str">
        <f t="shared" si="12"/>
        <v/>
      </c>
      <c r="L92" s="108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38</v>
      </c>
    </row>
    <row r="93" spans="1:16" x14ac:dyDescent="0.2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92" t="str">
        <f t="shared" si="10"/>
        <v/>
      </c>
      <c r="F93" t="str">
        <f t="shared" si="11"/>
        <v/>
      </c>
      <c r="G93" s="169" t="str">
        <f t="shared" si="12"/>
        <v/>
      </c>
      <c r="L93" s="108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38</v>
      </c>
    </row>
    <row r="94" spans="1:16" x14ac:dyDescent="0.2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92" t="str">
        <f t="shared" si="10"/>
        <v/>
      </c>
      <c r="F94" t="str">
        <f t="shared" si="11"/>
        <v/>
      </c>
      <c r="G94" s="169" t="str">
        <f t="shared" si="12"/>
        <v/>
      </c>
      <c r="L94" s="108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38</v>
      </c>
    </row>
    <row r="95" spans="1:16" x14ac:dyDescent="0.2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92" t="str">
        <f t="shared" si="10"/>
        <v/>
      </c>
      <c r="F95" t="str">
        <f t="shared" si="11"/>
        <v/>
      </c>
      <c r="G95" s="169" t="str">
        <f t="shared" si="12"/>
        <v/>
      </c>
      <c r="L95" s="108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38</v>
      </c>
    </row>
    <row r="96" spans="1:16" x14ac:dyDescent="0.2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92" t="str">
        <f t="shared" si="10"/>
        <v/>
      </c>
      <c r="F96" t="str">
        <f t="shared" si="11"/>
        <v/>
      </c>
      <c r="G96" s="169" t="str">
        <f t="shared" si="12"/>
        <v/>
      </c>
      <c r="L96" s="108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38</v>
      </c>
    </row>
    <row r="97" spans="1:16" x14ac:dyDescent="0.2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92" t="str">
        <f t="shared" si="10"/>
        <v/>
      </c>
      <c r="F97" t="str">
        <f t="shared" si="11"/>
        <v/>
      </c>
      <c r="G97" s="169" t="str">
        <f t="shared" si="12"/>
        <v/>
      </c>
      <c r="L97" s="108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38</v>
      </c>
    </row>
    <row r="98" spans="1:16" x14ac:dyDescent="0.2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92" t="str">
        <f t="shared" si="10"/>
        <v/>
      </c>
      <c r="F98" t="str">
        <f t="shared" si="11"/>
        <v/>
      </c>
      <c r="G98" s="169" t="str">
        <f t="shared" si="12"/>
        <v/>
      </c>
      <c r="L98" s="108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38</v>
      </c>
    </row>
    <row r="99" spans="1:16" x14ac:dyDescent="0.2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92" t="str">
        <f t="shared" si="10"/>
        <v/>
      </c>
      <c r="F99" t="str">
        <f t="shared" si="11"/>
        <v/>
      </c>
      <c r="G99" s="169" t="str">
        <f t="shared" si="12"/>
        <v/>
      </c>
      <c r="L99" s="108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38</v>
      </c>
    </row>
    <row r="100" spans="1:16" x14ac:dyDescent="0.2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92" t="str">
        <f t="shared" si="10"/>
        <v/>
      </c>
      <c r="F100" t="str">
        <f t="shared" si="11"/>
        <v/>
      </c>
      <c r="G100" s="169" t="str">
        <f t="shared" si="12"/>
        <v/>
      </c>
      <c r="L100" s="108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38</v>
      </c>
    </row>
    <row r="101" spans="1:16" x14ac:dyDescent="0.2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92" t="str">
        <f t="shared" si="10"/>
        <v/>
      </c>
      <c r="F101" t="str">
        <f t="shared" si="11"/>
        <v/>
      </c>
      <c r="G101" s="169" t="str">
        <f t="shared" si="12"/>
        <v/>
      </c>
      <c r="L101" s="108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38</v>
      </c>
    </row>
    <row r="102" spans="1:16" x14ac:dyDescent="0.2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92" t="str">
        <f t="shared" si="10"/>
        <v/>
      </c>
      <c r="F102" t="str">
        <f t="shared" si="11"/>
        <v/>
      </c>
      <c r="G102" s="169" t="str">
        <f t="shared" si="12"/>
        <v/>
      </c>
      <c r="L102" s="108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38</v>
      </c>
    </row>
    <row r="103" spans="1:16" x14ac:dyDescent="0.2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92" t="str">
        <f t="shared" si="10"/>
        <v/>
      </c>
      <c r="F103" t="str">
        <f t="shared" si="11"/>
        <v/>
      </c>
      <c r="G103" s="169" t="str">
        <f t="shared" si="12"/>
        <v/>
      </c>
      <c r="L103" s="108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38</v>
      </c>
    </row>
    <row r="104" spans="1:16" x14ac:dyDescent="0.2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92" t="str">
        <f t="shared" si="10"/>
        <v/>
      </c>
      <c r="F104" t="str">
        <f t="shared" si="11"/>
        <v/>
      </c>
      <c r="G104" s="169" t="str">
        <f t="shared" si="12"/>
        <v/>
      </c>
      <c r="L104" s="108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38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C62B-F532-4BA5-AE36-EA4CC8FF3ABB}">
  <sheetPr>
    <tabColor theme="1"/>
    <pageSetUpPr autoPageBreaks="0"/>
  </sheetPr>
  <dimension ref="A1:V86"/>
  <sheetViews>
    <sheetView showGridLines="0" zoomScaleNormal="100" workbookViewId="0">
      <selection activeCell="C19" sqref="C19:T19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+Spielzettel5!M2</f>
        <v>5</v>
      </c>
      <c r="F6" s="336"/>
      <c r="P6" s="128" t="s">
        <v>1825</v>
      </c>
      <c r="Q6" s="337" t="str">
        <f>+Spielzettel5!L1</f>
        <v>13.04.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+Spielzettel5!D2</f>
        <v>Nürnberg West Bowling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+Spielzettel5!D1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>
        <v>0.34375</v>
      </c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 t="s">
        <v>2370</v>
      </c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 t="s">
        <v>2370</v>
      </c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 t="s">
        <v>2370</v>
      </c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2372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hidden="1" customHeight="1" x14ac:dyDescent="0.2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>
        <v>0.51041666666666663</v>
      </c>
      <c r="I31" s="145"/>
      <c r="J31" s="147" t="s">
        <v>1841</v>
      </c>
      <c r="K31" s="147"/>
      <c r="L31" s="146">
        <v>0.53472222222222221</v>
      </c>
      <c r="M31" s="147" t="s">
        <v>1830</v>
      </c>
      <c r="N31" s="147"/>
      <c r="O31" s="147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/>
      <c r="H34" t="s">
        <v>1832</v>
      </c>
      <c r="J34" s="137" t="s">
        <v>2370</v>
      </c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/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 t="s">
        <v>2370</v>
      </c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/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 t="s">
        <v>2548</v>
      </c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94" t="s">
        <v>2547</v>
      </c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94" t="s">
        <v>2546</v>
      </c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906A6-3E2D-4BA0-83E1-B212AA5A377E}">
  <sheetPr>
    <tabColor rgb="FFFF0000"/>
  </sheetPr>
  <dimension ref="A1:AC174"/>
  <sheetViews>
    <sheetView view="pageBreakPreview" zoomScaleNormal="100" zoomScaleSheetLayoutView="100" workbookViewId="0">
      <selection activeCell="AC3" sqref="AC3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6" max="16" width="0" hidden="1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11.42578125" hidden="1" customWidth="1"/>
    <col min="27" max="27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Schlüssel!$CO$1</f>
        <v>13.04.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Schlüssel!$CE$2</f>
        <v>Nürnberg West Bowling</v>
      </c>
      <c r="F2" s="77"/>
      <c r="G2" s="77"/>
      <c r="H2" s="77"/>
      <c r="I2" s="77"/>
      <c r="K2" s="77"/>
      <c r="L2" s="29" t="s">
        <v>1784</v>
      </c>
      <c r="M2" s="34">
        <v>5</v>
      </c>
      <c r="N2" s="28"/>
      <c r="AC2" s="91">
        <v>3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VLOOKUP(B2,Schlüssel!$A$5:$DZ$10,93)</f>
        <v>5</v>
      </c>
      <c r="F4" s="47" t="s">
        <v>10</v>
      </c>
      <c r="G4" s="7">
        <f>VLOOKUP(B2,Schlüssel!$A$5:$DZ$10,94)</f>
        <v>8</v>
      </c>
      <c r="H4" s="47" t="s">
        <v>10</v>
      </c>
      <c r="I4" s="7">
        <f>VLOOKUP(B2,Schlüssel!$A$5:$DZ$10,95)</f>
        <v>6</v>
      </c>
      <c r="J4" s="47" t="s">
        <v>10</v>
      </c>
      <c r="K4" s="7">
        <f>VLOOKUP(B2,Schlüssel!$A$5:$DZ$10,96)</f>
        <v>7</v>
      </c>
      <c r="L4" s="47" t="s">
        <v>10</v>
      </c>
      <c r="M4" s="67">
        <f>VLOOKUP(B2,Schlüssel!$A$5:$DZ$10,97)</f>
        <v>5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VLOOKUP(B2,Schlüssel!$A$5:$DZ$10,83)</f>
        <v>5</v>
      </c>
      <c r="E22" s="350"/>
      <c r="F22" s="350">
        <f>VLOOKUP(B2,Schlüssel!$A$5:$DZ$10,84)</f>
        <v>4</v>
      </c>
      <c r="G22" s="350"/>
      <c r="H22" s="350">
        <f>VLOOKUP(B2,Schlüssel!$A$5:$DZ$10,85)</f>
        <v>3</v>
      </c>
      <c r="I22" s="350"/>
      <c r="J22" s="350">
        <f>VLOOKUP(B2,Schlüssel!$A$5:$DZ$10,86)</f>
        <v>6</v>
      </c>
      <c r="K22" s="350"/>
      <c r="L22" s="350">
        <f>VLOOKUP(B2,Schlüssel!$A$5:$DZ$10,87)</f>
        <v>2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Castra Regina Regensburg 2</v>
      </c>
      <c r="E23" s="348"/>
      <c r="F23" s="347" t="str">
        <f>VLOOKUP(F22,Schlüssel!$A$5:$K$10,2)</f>
        <v>Kings Club Bayreuth Land 3</v>
      </c>
      <c r="G23" s="348"/>
      <c r="H23" s="347" t="str">
        <f>VLOOKUP(H22,Schlüssel!$A$5:$K$10,2)</f>
        <v>Kings Club Bayreuth Land 2</v>
      </c>
      <c r="I23" s="348"/>
      <c r="J23" s="347" t="str">
        <f>VLOOKUP(J22,Schlüssel!$A$5:$K$10,2)</f>
        <v>Adler Nürnberg 1</v>
      </c>
      <c r="K23" s="348"/>
      <c r="L23" s="347" t="str">
        <f>VLOOKUP(L22,Schlüssel!$A$5:$K$10,2)</f>
        <v>Herzogenaurach 1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Schlüssel!$CO$1</f>
        <v>13.04.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Schlüssel!$CE$2</f>
        <v>Nürnberg West Bowling</v>
      </c>
      <c r="F31" s="77"/>
      <c r="G31" s="77"/>
      <c r="H31" s="77"/>
      <c r="I31" s="77"/>
      <c r="K31" s="77"/>
      <c r="L31" s="29" t="s">
        <v>1784</v>
      </c>
      <c r="M31" s="34">
        <v>5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VLOOKUP(B31,Schlüssel!$A$5:$DZ$10,93)</f>
        <v>4</v>
      </c>
      <c r="F33" s="47" t="s">
        <v>10</v>
      </c>
      <c r="G33" s="7">
        <f>VLOOKUP(B31,Schlüssel!$A$5:$DZ$10,94)</f>
        <v>5</v>
      </c>
      <c r="H33" s="47" t="s">
        <v>10</v>
      </c>
      <c r="I33" s="7">
        <f>VLOOKUP(B31,Schlüssel!$A$5:$DZ$10,95)</f>
        <v>7</v>
      </c>
      <c r="J33" s="47" t="s">
        <v>10</v>
      </c>
      <c r="K33" s="7">
        <f>VLOOKUP(B31,Schlüssel!$A$5:$DZ$10,96)</f>
        <v>3</v>
      </c>
      <c r="L33" s="47" t="s">
        <v>10</v>
      </c>
      <c r="M33" s="67">
        <f>VLOOKUP(B31,Schlüssel!$A$5:$DZ$10,97)</f>
        <v>6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VLOOKUP(B31,Schlüssel!$A$5:$DZ$10,83)</f>
        <v>4</v>
      </c>
      <c r="E51" s="350"/>
      <c r="F51" s="350">
        <f>VLOOKUP(B31,Schlüssel!$A$5:$DZ$10,84)</f>
        <v>6</v>
      </c>
      <c r="G51" s="350"/>
      <c r="H51" s="350">
        <f>VLOOKUP(B31,Schlüssel!$A$5:$DZ$10,85)</f>
        <v>5</v>
      </c>
      <c r="I51" s="350"/>
      <c r="J51" s="350">
        <f>VLOOKUP(B31,Schlüssel!$A$5:$DZ$10,86)</f>
        <v>3</v>
      </c>
      <c r="K51" s="350"/>
      <c r="L51" s="350">
        <f>VLOOKUP(B31,Schlüssel!$A$5:$DZ$10,87)</f>
        <v>1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Kings Club Bayreuth Land 3</v>
      </c>
      <c r="E52" s="348"/>
      <c r="F52" s="347" t="str">
        <f>VLOOKUP(F51,Schlüssel!$A$5:$K$10,2)</f>
        <v>Adler Nürnberg 1</v>
      </c>
      <c r="G52" s="348"/>
      <c r="H52" s="347" t="str">
        <f>VLOOKUP(H51,Schlüssel!$A$5:$K$10,2)</f>
        <v>Castra Regina Regensburg 2</v>
      </c>
      <c r="I52" s="348"/>
      <c r="J52" s="347" t="str">
        <f>VLOOKUP(J51,Schlüssel!$A$5:$K$10,2)</f>
        <v>Kings Club Bayreuth Land 2</v>
      </c>
      <c r="K52" s="348"/>
      <c r="L52" s="347" t="str">
        <f>VLOOKUP(L51,Schlüssel!$A$5:$K$10,2)</f>
        <v>Castra Regina Regensburg 3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Schlüssel!$CO$1</f>
        <v>13.04.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Schlüssel!$CE$2</f>
        <v>Nürnberg West Bowling</v>
      </c>
      <c r="F60" s="77"/>
      <c r="G60" s="77"/>
      <c r="H60" s="77"/>
      <c r="I60" s="77"/>
      <c r="K60" s="77"/>
      <c r="L60" s="29" t="s">
        <v>1784</v>
      </c>
      <c r="M60" s="34">
        <v>5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VLOOKUP(B60,Schlüssel!$A$5:$DZ$10,93)</f>
        <v>8</v>
      </c>
      <c r="F62" s="47" t="s">
        <v>10</v>
      </c>
      <c r="G62" s="7">
        <f>VLOOKUP(B60,Schlüssel!$A$5:$DZ$10,94)</f>
        <v>3</v>
      </c>
      <c r="H62" s="47" t="s">
        <v>10</v>
      </c>
      <c r="I62" s="7">
        <f>VLOOKUP(B60,Schlüssel!$A$5:$DZ$10,95)</f>
        <v>5</v>
      </c>
      <c r="J62" s="47" t="s">
        <v>10</v>
      </c>
      <c r="K62" s="7">
        <f>VLOOKUP(B60,Schlüssel!$A$5:$DZ$10,96)</f>
        <v>4</v>
      </c>
      <c r="L62" s="47" t="s">
        <v>10</v>
      </c>
      <c r="M62" s="67">
        <f>VLOOKUP(B60,Schlüssel!$A$5:$DZ$10,97)</f>
        <v>7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VLOOKUP(B60,Schlüssel!$A$5:$DZ$10,83)</f>
        <v>6</v>
      </c>
      <c r="E80" s="350"/>
      <c r="F80" s="350">
        <f>VLOOKUP(B60,Schlüssel!$A$5:$DZ$10,84)</f>
        <v>5</v>
      </c>
      <c r="G80" s="350"/>
      <c r="H80" s="350">
        <f>VLOOKUP(B60,Schlüssel!$A$5:$DZ$10,85)</f>
        <v>1</v>
      </c>
      <c r="I80" s="350"/>
      <c r="J80" s="350">
        <f>VLOOKUP(B60,Schlüssel!$A$5:$DZ$10,86)</f>
        <v>2</v>
      </c>
      <c r="K80" s="350"/>
      <c r="L80" s="350">
        <f>VLOOKUP(B60,Schlüssel!$A$5:$DZ$10,87)</f>
        <v>4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Adler Nürnberg 1</v>
      </c>
      <c r="E81" s="348"/>
      <c r="F81" s="347" t="str">
        <f>VLOOKUP(F80,Schlüssel!$A$5:$K$10,2)</f>
        <v>Castra Regina Regensburg 2</v>
      </c>
      <c r="G81" s="348"/>
      <c r="H81" s="347" t="str">
        <f>VLOOKUP(H80,Schlüssel!$A$5:$K$10,2)</f>
        <v>Castra Regina Regensburg 3</v>
      </c>
      <c r="I81" s="348"/>
      <c r="J81" s="347" t="str">
        <f>VLOOKUP(J80,Schlüssel!$A$5:$K$10,2)</f>
        <v>Herzogenaurach 1</v>
      </c>
      <c r="K81" s="348"/>
      <c r="L81" s="347" t="str">
        <f>VLOOKUP(L80,Schlüssel!$A$5:$K$10,2)</f>
        <v>Kings Club Bayreuth Land 3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Schlüssel!$CO$1</f>
        <v>13.04.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Schlüssel!$CE$2</f>
        <v>Nürnberg West Bowling</v>
      </c>
      <c r="F89" s="77"/>
      <c r="G89" s="77"/>
      <c r="H89" s="77"/>
      <c r="I89" s="77"/>
      <c r="K89" s="77"/>
      <c r="L89" s="29" t="s">
        <v>1784</v>
      </c>
      <c r="M89" s="34">
        <v>5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VLOOKUP(B89,Schlüssel!$A$5:$DZ$10,93)</f>
        <v>3</v>
      </c>
      <c r="F91" s="47" t="s">
        <v>10</v>
      </c>
      <c r="G91" s="7">
        <f>VLOOKUP(B89,Schlüssel!$A$5:$DZ$10,94)</f>
        <v>7</v>
      </c>
      <c r="H91" s="47" t="s">
        <v>10</v>
      </c>
      <c r="I91" s="7">
        <f>VLOOKUP(B89,Schlüssel!$A$5:$DZ$10,95)</f>
        <v>4</v>
      </c>
      <c r="J91" s="47" t="s">
        <v>10</v>
      </c>
      <c r="K91" s="7">
        <f>VLOOKUP(B89,Schlüssel!$A$5:$DZ$10,96)</f>
        <v>6</v>
      </c>
      <c r="L91" s="47" t="s">
        <v>10</v>
      </c>
      <c r="M91" s="67">
        <f>VLOOKUP(B89,Schlüssel!$A$5:$DZ$10,97)</f>
        <v>8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VLOOKUP(B89,Schlüssel!$A$5:$DZ$10,83)</f>
        <v>2</v>
      </c>
      <c r="E109" s="350"/>
      <c r="F109" s="350">
        <f>VLOOKUP(B89,Schlüssel!$A$5:$DZ$10,84)</f>
        <v>1</v>
      </c>
      <c r="G109" s="350"/>
      <c r="H109" s="350">
        <f>VLOOKUP(B89,Schlüssel!$A$5:$DZ$10,85)</f>
        <v>6</v>
      </c>
      <c r="I109" s="350"/>
      <c r="J109" s="350">
        <f>VLOOKUP(B89,Schlüssel!$A$5:$DZ$10,86)</f>
        <v>5</v>
      </c>
      <c r="K109" s="350"/>
      <c r="L109" s="350">
        <f>VLOOKUP(B89,Schlüssel!$A$5:$DZ$10,87)</f>
        <v>3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Herzogenaurach 1</v>
      </c>
      <c r="E110" s="348"/>
      <c r="F110" s="347" t="str">
        <f>VLOOKUP(F109,Schlüssel!$A$5:$K$10,2)</f>
        <v>Castra Regina Regensburg 3</v>
      </c>
      <c r="G110" s="348"/>
      <c r="H110" s="347" t="str">
        <f>VLOOKUP(H109,Schlüssel!$A$5:$K$10,2)</f>
        <v>Adler Nürnberg 1</v>
      </c>
      <c r="I110" s="348"/>
      <c r="J110" s="347" t="str">
        <f>VLOOKUP(J109,Schlüssel!$A$5:$K$10,2)</f>
        <v>Castra Regina Regensburg 2</v>
      </c>
      <c r="K110" s="348"/>
      <c r="L110" s="347" t="str">
        <f>VLOOKUP(L109,Schlüssel!$A$5:$K$10,2)</f>
        <v>Kings Club Bayreuth Land 2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Schlüssel!$CO$1</f>
        <v>13.04.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Schlüssel!$CE$2</f>
        <v>Nürnberg West Bowling</v>
      </c>
      <c r="F118" s="77"/>
      <c r="G118" s="77"/>
      <c r="H118" s="77"/>
      <c r="I118" s="77"/>
      <c r="K118" s="77"/>
      <c r="L118" s="29" t="s">
        <v>1784</v>
      </c>
      <c r="M118" s="34">
        <v>5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VLOOKUP(B118,Schlüssel!$A$5:$DZ$10,93)</f>
        <v>6</v>
      </c>
      <c r="F120" s="47" t="s">
        <v>10</v>
      </c>
      <c r="G120" s="7">
        <f>VLOOKUP(B118,Schlüssel!$A$5:$DZ$10,94)</f>
        <v>4</v>
      </c>
      <c r="H120" s="47" t="s">
        <v>10</v>
      </c>
      <c r="I120" s="7">
        <f>VLOOKUP(B118,Schlüssel!$A$5:$DZ$10,95)</f>
        <v>8</v>
      </c>
      <c r="J120" s="47" t="s">
        <v>10</v>
      </c>
      <c r="K120" s="7">
        <f>VLOOKUP(B118,Schlüssel!$A$5:$DZ$10,96)</f>
        <v>5</v>
      </c>
      <c r="L120" s="47" t="s">
        <v>10</v>
      </c>
      <c r="M120" s="67">
        <f>VLOOKUP(B118,Schlüssel!$A$5:$DZ$10,97)</f>
        <v>3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VLOOKUP(B118,Schlüssel!$A$5:$DZ$10,83)</f>
        <v>1</v>
      </c>
      <c r="E138" s="350"/>
      <c r="F138" s="350">
        <f>VLOOKUP(B118,Schlüssel!$A$5:$DZ$10,84)</f>
        <v>3</v>
      </c>
      <c r="G138" s="350"/>
      <c r="H138" s="350">
        <f>VLOOKUP(B118,Schlüssel!$A$5:$DZ$10,85)</f>
        <v>2</v>
      </c>
      <c r="I138" s="350"/>
      <c r="J138" s="350">
        <f>VLOOKUP(B118,Schlüssel!$A$5:$DZ$10,86)</f>
        <v>4</v>
      </c>
      <c r="K138" s="350"/>
      <c r="L138" s="350">
        <f>VLOOKUP(B118,Schlüssel!$A$5:$DZ$10,87)</f>
        <v>6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Castra Regina Regensburg 3</v>
      </c>
      <c r="E139" s="348"/>
      <c r="F139" s="347" t="str">
        <f>VLOOKUP(F138,Schlüssel!$A$5:$K$10,2)</f>
        <v>Kings Club Bayreuth Land 2</v>
      </c>
      <c r="G139" s="348"/>
      <c r="H139" s="347" t="str">
        <f>VLOOKUP(H138,Schlüssel!$A$5:$K$10,2)</f>
        <v>Herzogenaurach 1</v>
      </c>
      <c r="I139" s="348"/>
      <c r="J139" s="347" t="str">
        <f>VLOOKUP(J138,Schlüssel!$A$5:$K$10,2)</f>
        <v>Kings Club Bayreuth Land 3</v>
      </c>
      <c r="K139" s="348"/>
      <c r="L139" s="347" t="str">
        <f>VLOOKUP(L138,Schlüssel!$A$5:$K$10,2)</f>
        <v>Adler Nürnberg 1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Schlüssel!$CO$1</f>
        <v>13.04.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Schlüssel!$CE$2</f>
        <v>Nürnberg West Bowling</v>
      </c>
      <c r="F147" s="77"/>
      <c r="G147" s="77"/>
      <c r="H147" s="77"/>
      <c r="I147" s="77"/>
      <c r="K147" s="77"/>
      <c r="L147" s="29" t="s">
        <v>1784</v>
      </c>
      <c r="M147" s="34">
        <v>5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VLOOKUP(B147,Schlüssel!$A$5:$DZ$10,93)</f>
        <v>7</v>
      </c>
      <c r="F149" s="47" t="s">
        <v>10</v>
      </c>
      <c r="G149" s="7">
        <f>VLOOKUP(B147,Schlüssel!$A$5:$DZ$10,94)</f>
        <v>6</v>
      </c>
      <c r="H149" s="47" t="s">
        <v>10</v>
      </c>
      <c r="I149" s="7">
        <f>VLOOKUP(B147,Schlüssel!$A$5:$DZ$10,95)</f>
        <v>3</v>
      </c>
      <c r="J149" s="47" t="s">
        <v>10</v>
      </c>
      <c r="K149" s="7">
        <f>VLOOKUP(B147,Schlüssel!$A$5:$DZ$10,96)</f>
        <v>8</v>
      </c>
      <c r="L149" s="47" t="s">
        <v>10</v>
      </c>
      <c r="M149" s="67">
        <f>VLOOKUP(B147,Schlüssel!$A$5:$DZ$10,97)</f>
        <v>4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VLOOKUP(B147,Schlüssel!$A$5:$DZ$10,83)</f>
        <v>3</v>
      </c>
      <c r="E167" s="350"/>
      <c r="F167" s="350">
        <f>VLOOKUP(B147,Schlüssel!$A$5:$DZ$10,84)</f>
        <v>2</v>
      </c>
      <c r="G167" s="350"/>
      <c r="H167" s="350">
        <f>VLOOKUP(B147,Schlüssel!$A$5:$DZ$10,85)</f>
        <v>4</v>
      </c>
      <c r="I167" s="350"/>
      <c r="J167" s="350">
        <f>VLOOKUP(B147,Schlüssel!$A$5:$DZ$10,86)</f>
        <v>1</v>
      </c>
      <c r="K167" s="350"/>
      <c r="L167" s="350">
        <f>VLOOKUP(B147,Schlüssel!$A$5:$DZ$10,87)</f>
        <v>5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Kings Club Bayreuth Land 2</v>
      </c>
      <c r="E168" s="348"/>
      <c r="F168" s="347" t="str">
        <f>VLOOKUP(F167,Schlüssel!$A$5:$K$10,2)</f>
        <v>Herzogenaurach 1</v>
      </c>
      <c r="G168" s="348"/>
      <c r="H168" s="347" t="str">
        <f>VLOOKUP(H167,Schlüssel!$A$5:$K$10,2)</f>
        <v>Kings Club Bayreuth Land 3</v>
      </c>
      <c r="I168" s="348"/>
      <c r="J168" s="347" t="str">
        <f>VLOOKUP(J167,Schlüssel!$A$5:$K$10,2)</f>
        <v>Castra Regina Regensburg 3</v>
      </c>
      <c r="K168" s="348"/>
      <c r="L168" s="347" t="str">
        <f>VLOOKUP(L167,Schlüssel!$A$5:$K$10,2)</f>
        <v>Castra Regina Regensburg 2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D19C" sheet="1"/>
  <mergeCells count="498">
    <mergeCell ref="L1:N1"/>
    <mergeCell ref="D5:E5"/>
    <mergeCell ref="F5:G5"/>
    <mergeCell ref="H5:I5"/>
    <mergeCell ref="J5:K5"/>
    <mergeCell ref="L5:M5"/>
    <mergeCell ref="N5:O5"/>
    <mergeCell ref="O7:O9"/>
    <mergeCell ref="A10:A12"/>
    <mergeCell ref="E10:E12"/>
    <mergeCell ref="G10:G12"/>
    <mergeCell ref="I10:I12"/>
    <mergeCell ref="K10:K12"/>
    <mergeCell ref="M10:M12"/>
    <mergeCell ref="O10:O12"/>
    <mergeCell ref="A7:A9"/>
    <mergeCell ref="E7:E9"/>
    <mergeCell ref="G7:G9"/>
    <mergeCell ref="I7:I9"/>
    <mergeCell ref="K7:K9"/>
    <mergeCell ref="M7:M9"/>
    <mergeCell ref="D22:E22"/>
    <mergeCell ref="F22:G22"/>
    <mergeCell ref="H22:I22"/>
    <mergeCell ref="J22:K22"/>
    <mergeCell ref="L22:M22"/>
    <mergeCell ref="N22:O22"/>
    <mergeCell ref="O13:O15"/>
    <mergeCell ref="A16:A18"/>
    <mergeCell ref="E16:E18"/>
    <mergeCell ref="G16:G18"/>
    <mergeCell ref="I16:I18"/>
    <mergeCell ref="K16:K18"/>
    <mergeCell ref="M16:M18"/>
    <mergeCell ref="O16:O18"/>
    <mergeCell ref="A13:A15"/>
    <mergeCell ref="E13:E15"/>
    <mergeCell ref="G13:G15"/>
    <mergeCell ref="I13:I15"/>
    <mergeCell ref="K13:K15"/>
    <mergeCell ref="M13:M15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D26:E26"/>
    <mergeCell ref="F26:G26"/>
    <mergeCell ref="H26:I26"/>
    <mergeCell ref="J26:K26"/>
    <mergeCell ref="L26:M26"/>
    <mergeCell ref="N26:O26"/>
    <mergeCell ref="D25:E25"/>
    <mergeCell ref="F25:G25"/>
    <mergeCell ref="H25:I25"/>
    <mergeCell ref="J25:K25"/>
    <mergeCell ref="L25:M25"/>
    <mergeCell ref="N25:O25"/>
    <mergeCell ref="D28:E28"/>
    <mergeCell ref="F28:G28"/>
    <mergeCell ref="H28:I28"/>
    <mergeCell ref="J28:K28"/>
    <mergeCell ref="L28:M28"/>
    <mergeCell ref="N28:O28"/>
    <mergeCell ref="D27:E27"/>
    <mergeCell ref="F27:G27"/>
    <mergeCell ref="H27:I27"/>
    <mergeCell ref="J27:K27"/>
    <mergeCell ref="L27:M27"/>
    <mergeCell ref="N27:O27"/>
    <mergeCell ref="L30:N30"/>
    <mergeCell ref="D34:E34"/>
    <mergeCell ref="F34:G34"/>
    <mergeCell ref="H34:I34"/>
    <mergeCell ref="J34:K34"/>
    <mergeCell ref="L34:M34"/>
    <mergeCell ref="N34:O34"/>
    <mergeCell ref="D29:E29"/>
    <mergeCell ref="F29:G29"/>
    <mergeCell ref="H29:I29"/>
    <mergeCell ref="J29:K29"/>
    <mergeCell ref="L29:M29"/>
    <mergeCell ref="N29:O29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ageMargins left="0.70866141732283472" right="0.70866141732283472" top="0.39370078740157483" bottom="0.39370078740157483" header="0.31496062992125984" footer="0.31496062992125984"/>
  <pageSetup paperSize="9" orientation="landscape" r:id="rId1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9DBD9-FB60-48A2-86E9-AC29CC2B420F}">
  <sheetPr>
    <tabColor rgb="FF92D050"/>
  </sheetPr>
  <dimension ref="A1:CE180"/>
  <sheetViews>
    <sheetView tabSelected="1" view="pageBreakPreview" topLeftCell="R1" zoomScaleNormal="100" zoomScaleSheetLayoutView="100" workbookViewId="0">
      <selection activeCell="AC17" sqref="AC17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/>
      <c r="N1" s="376" t="str">
        <f>AD1</f>
        <v>13.04.</v>
      </c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Schlüssel!$CO$1</f>
        <v>13.04.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Nürnberg West Bowling</v>
      </c>
      <c r="F2" s="77"/>
      <c r="G2" s="77"/>
      <c r="H2" s="77"/>
      <c r="I2" s="77"/>
      <c r="J2" s="77"/>
      <c r="K2" s="77"/>
      <c r="L2" s="29" t="s">
        <v>1784</v>
      </c>
      <c r="M2" s="86">
        <v>5</v>
      </c>
      <c r="N2" s="28"/>
      <c r="R2" s="49"/>
      <c r="S2" s="50">
        <v>1</v>
      </c>
      <c r="U2" s="30" t="s">
        <v>1786</v>
      </c>
      <c r="V2" s="84" t="str">
        <f>Schlüssel!$CE$2</f>
        <v>Nürnberg West Bowling</v>
      </c>
      <c r="X2" s="77"/>
      <c r="Y2" s="77"/>
      <c r="Z2" s="77"/>
      <c r="AA2" s="77"/>
      <c r="AB2" s="77"/>
      <c r="AC2" s="29" t="s">
        <v>1784</v>
      </c>
      <c r="AD2" s="34">
        <v>5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VLOOKUP(S2,Schlüssel!$A$5:$DZ$10,93)</f>
        <v>5</v>
      </c>
      <c r="W4" s="193" t="s">
        <v>10</v>
      </c>
      <c r="X4" s="191">
        <f>VLOOKUP(S2,Schlüssel!$A$5:$DZ$10,94)</f>
        <v>8</v>
      </c>
      <c r="Y4" s="193" t="s">
        <v>10</v>
      </c>
      <c r="Z4" s="191">
        <f>VLOOKUP(S2,Schlüssel!$A$5:$DZ$10,95)</f>
        <v>6</v>
      </c>
      <c r="AA4" s="193" t="s">
        <v>10</v>
      </c>
      <c r="AB4" s="191">
        <f>VLOOKUP(S2,Schlüssel!$A$5:$DZ$10,96)</f>
        <v>7</v>
      </c>
      <c r="AC4" s="193" t="s">
        <v>10</v>
      </c>
      <c r="AD4" s="192">
        <f>VLOOKUP(S2,Schlüssel!$A$5:$DZ$10,97)</f>
        <v>5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>Stibel, Blasius</v>
      </c>
      <c r="C7" s="18">
        <f>IF(T7=0,"",T7)</f>
        <v>7849</v>
      </c>
      <c r="D7" s="14">
        <f>IF(U7=0,"",U7)</f>
        <v>164</v>
      </c>
      <c r="E7" s="352">
        <f>IF(V7="","",V7)</f>
        <v>0</v>
      </c>
      <c r="F7" s="14">
        <f t="shared" ref="F7:F20" si="0">IF(W7=0,"",W7)</f>
        <v>188</v>
      </c>
      <c r="G7" s="352">
        <f>IF(X7="","",X7)</f>
        <v>1</v>
      </c>
      <c r="H7" s="14">
        <f t="shared" ref="H7:H20" si="1">IF(Y7=0,"",Y7)</f>
        <v>128</v>
      </c>
      <c r="I7" s="352">
        <f>IF(Z7="","",Z7)</f>
        <v>0</v>
      </c>
      <c r="J7" s="14">
        <f t="shared" ref="J7:J20" si="2">IF(AA7=0,"",AA7)</f>
        <v>157</v>
      </c>
      <c r="K7" s="352">
        <f>IF(AB7="","",AB7)</f>
        <v>0</v>
      </c>
      <c r="L7" s="14">
        <f t="shared" ref="L7:L20" si="3">IF(AC7=0,"",AC7)</f>
        <v>141</v>
      </c>
      <c r="M7" s="352">
        <f>IF(AD7="","",AD7)</f>
        <v>0.5</v>
      </c>
      <c r="N7" s="14">
        <f t="shared" ref="N7:N20" si="4">IF(AE7=0,"",AE7)</f>
        <v>778</v>
      </c>
      <c r="O7" s="352">
        <f>IF(AF7="","",AF7)</f>
        <v>1.5</v>
      </c>
      <c r="R7" s="355" t="s">
        <v>0</v>
      </c>
      <c r="S7" s="68" t="str">
        <f>IF(T7=0,"",VLOOKUP(T7,Starter!$A$1:$D$196,2,FALSE))</f>
        <v>Stibel, Blasius</v>
      </c>
      <c r="T7" s="175">
        <v>7849</v>
      </c>
      <c r="U7" s="183">
        <v>164</v>
      </c>
      <c r="V7" s="95">
        <f>IF(SUM(U7:U9)+U25=0,0,IF(ABS(SUM(U7:U9))=U25,0.5,IF(ABS(SUM(U7:U9))&gt;U25,1,0)))</f>
        <v>0</v>
      </c>
      <c r="W7" s="183">
        <v>188</v>
      </c>
      <c r="X7" s="95">
        <f>IF(SUM(W7:W9)+W25=0,0,IF(ABS(SUM(W7:W9))=W25,0.5,IF(ABS(SUM(W7:W9))&gt;W25,1,0)))</f>
        <v>1</v>
      </c>
      <c r="Y7" s="183">
        <v>128</v>
      </c>
      <c r="Z7" s="95">
        <f>IF(SUM(Y7:Y9)+Y25=0,0,IF(ABS(SUM(Y7:Y9))=Y25,0.5,IF(ABS(SUM(Y7:Y9))&gt;Y25,1,0)))</f>
        <v>0</v>
      </c>
      <c r="AA7" s="189">
        <v>157</v>
      </c>
      <c r="AB7" s="95">
        <f>IF(SUM(AA7:AA9)+AA25=0,0,IF(ABS(SUM(AA7:AA9))=AA25,0.5,IF(ABS(SUM(AA7:AA9))&gt;AA25,1,0)))</f>
        <v>0</v>
      </c>
      <c r="AC7" s="183">
        <v>141</v>
      </c>
      <c r="AD7" s="95">
        <f>IF(SUM(AC7:AC9)+AC25=0,0,IF(ABS(SUM(AC7:AC9))=AC25,0.5,IF(ABS(SUM(AC7:AC9))&gt;AC25,1,0)))</f>
        <v>0.5</v>
      </c>
      <c r="AE7" s="195">
        <f t="shared" ref="AE7:AE18" si="5">ABS(SUM(U7:U7))+ABS(SUM(W7:W7))+ABS(SUM(Y7:Y7))+ABS(SUM(AA7:AA7))+ABS(SUM(AC7:AC7))</f>
        <v>778</v>
      </c>
      <c r="AF7" s="180">
        <f>SUM(V7+X7+Z7+AB7+AD7)</f>
        <v>1.5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 t="shared" ref="BD7:BD18" si="6">T7</f>
        <v>7849</v>
      </c>
      <c r="BE7" s="213">
        <f t="shared" ref="BE7:BE18" si="7">AE7</f>
        <v>778</v>
      </c>
      <c r="BF7" s="215">
        <f t="shared" ref="BF7:BF18" si="8">COUNT(BH7:BL7)</f>
        <v>5</v>
      </c>
      <c r="BG7" s="215">
        <f t="shared" ref="BG7:BG18" si="9">COUNTIF(BH7:BL7,"&gt;0")</f>
        <v>5</v>
      </c>
      <c r="BH7" s="215">
        <f t="shared" ref="BH7:BH18" si="10">IF(U7=0,"",U7)</f>
        <v>164</v>
      </c>
      <c r="BI7" s="215">
        <f t="shared" ref="BI7:BI18" si="11">IF(W7=0,"",W7)</f>
        <v>188</v>
      </c>
      <c r="BJ7" s="215">
        <f t="shared" ref="BJ7:BJ18" si="12">IF(Y7=0,"",Y7)</f>
        <v>128</v>
      </c>
      <c r="BK7" s="215">
        <f t="shared" ref="BK7:BK18" si="13">IF(AA7=0,"",AA7)</f>
        <v>157</v>
      </c>
      <c r="BL7" s="215">
        <f t="shared" ref="BL7:BL18" si="14">IF(AC7=0,"",AC7)</f>
        <v>141</v>
      </c>
      <c r="BM7" s="216"/>
      <c r="BN7" s="214"/>
      <c r="BO7" s="215">
        <f t="shared" ref="BO7:BO18" si="15">MAX(BH7:BL7)</f>
        <v>188</v>
      </c>
      <c r="BP7" s="215">
        <f t="shared" ref="BP7:BP18" si="16">IF(BO7&lt;MAX(BO:BO),0,BO7+ROW()/1000000000)</f>
        <v>0</v>
      </c>
      <c r="BQ7" s="215" t="str">
        <f>+S3</f>
        <v>Castra Regina Regensburg 3</v>
      </c>
      <c r="BR7" s="214">
        <f t="shared" ref="BR7:BR18" si="17">RANK(BP7,BP:BP)</f>
        <v>2</v>
      </c>
      <c r="BS7" s="215">
        <f t="shared" ref="BS7:BS18" si="18">SUMIF(BH7:BL7,"&gt;0")</f>
        <v>778</v>
      </c>
      <c r="BT7" s="215">
        <f>IF(COUNTIF(BH7:BL7,"&gt;0")&lt;Spielorte!$A$23,0,BE7/Spielorte!$A$23)</f>
        <v>155.6</v>
      </c>
      <c r="BU7" s="215">
        <f t="shared" ref="BU7:BU18" si="19">IF(BT7&lt;MAX(BT:BT),0,BT7+ROW()/1000000000)</f>
        <v>0</v>
      </c>
      <c r="BV7" s="214">
        <f t="shared" ref="BV7:BV18" si="20">IF(BU7=0,0,RANK(BU7,BU:BU))</f>
        <v>0</v>
      </c>
    </row>
    <row r="8" spans="1:74" ht="17.100000000000001" customHeight="1" x14ac:dyDescent="0.2">
      <c r="A8" s="374"/>
      <c r="B8" s="19" t="str">
        <f t="shared" ref="B8:D20" si="21">IF(S8=0,"",S8)</f>
        <v/>
      </c>
      <c r="C8" s="20" t="str">
        <f t="shared" si="21"/>
        <v/>
      </c>
      <c r="D8" s="15" t="str">
        <f t="shared" si="21"/>
        <v/>
      </c>
      <c r="E8" s="353"/>
      <c r="F8" s="15" t="str">
        <f t="shared" si="0"/>
        <v/>
      </c>
      <c r="G8" s="353"/>
      <c r="H8" s="15" t="str">
        <f t="shared" si="1"/>
        <v/>
      </c>
      <c r="I8" s="353"/>
      <c r="J8" s="15" t="str">
        <f t="shared" si="2"/>
        <v/>
      </c>
      <c r="K8" s="353"/>
      <c r="L8" s="15" t="str">
        <f t="shared" si="3"/>
        <v/>
      </c>
      <c r="M8" s="353"/>
      <c r="N8" s="15" t="str">
        <f t="shared" si="4"/>
        <v/>
      </c>
      <c r="O8" s="353"/>
      <c r="R8" s="356"/>
      <c r="S8" s="68" t="str">
        <f>IF(T8=0,"",VLOOKUP(T8,Starter!$A$1:$D$196,2,FALSE))</f>
        <v/>
      </c>
      <c r="T8" s="176"/>
      <c r="U8" s="184"/>
      <c r="V8" s="96"/>
      <c r="W8" s="184"/>
      <c r="X8" s="96"/>
      <c r="Y8" s="184"/>
      <c r="Z8" s="96"/>
      <c r="AA8" s="184"/>
      <c r="AB8" s="96"/>
      <c r="AC8" s="184"/>
      <c r="AD8" s="96"/>
      <c r="AE8" s="196">
        <f t="shared" si="5"/>
        <v>0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si="6"/>
        <v>0</v>
      </c>
      <c r="BE8" s="213">
        <f t="shared" si="7"/>
        <v>0</v>
      </c>
      <c r="BF8" s="215">
        <f t="shared" si="8"/>
        <v>0</v>
      </c>
      <c r="BG8" s="215">
        <f t="shared" si="9"/>
        <v>0</v>
      </c>
      <c r="BH8" s="215" t="str">
        <f t="shared" si="10"/>
        <v/>
      </c>
      <c r="BI8" s="215" t="str">
        <f t="shared" si="11"/>
        <v/>
      </c>
      <c r="BJ8" s="215" t="str">
        <f t="shared" si="12"/>
        <v/>
      </c>
      <c r="BK8" s="215" t="str">
        <f t="shared" si="13"/>
        <v/>
      </c>
      <c r="BL8" s="215" t="str">
        <f t="shared" si="14"/>
        <v/>
      </c>
      <c r="BM8" s="216"/>
      <c r="BN8" s="214"/>
      <c r="BO8" s="215">
        <f t="shared" si="15"/>
        <v>0</v>
      </c>
      <c r="BP8" s="215">
        <f t="shared" si="16"/>
        <v>0</v>
      </c>
      <c r="BQ8" s="215" t="str">
        <f t="shared" ref="BQ8:BQ18" si="22">+BQ7</f>
        <v>Castra Regina Regensburg 3</v>
      </c>
      <c r="BR8" s="214">
        <f t="shared" si="17"/>
        <v>2</v>
      </c>
      <c r="BS8" s="215">
        <f t="shared" si="18"/>
        <v>0</v>
      </c>
      <c r="BT8" s="215">
        <f>IF(COUNTIF(BH8:BL8,"&gt;0")&lt;Spielorte!$A$23,0,BE8/Spielorte!$A$23)</f>
        <v>0</v>
      </c>
      <c r="BU8" s="215">
        <f t="shared" si="19"/>
        <v>0</v>
      </c>
      <c r="BV8" s="214">
        <f t="shared" si="20"/>
        <v>0</v>
      </c>
    </row>
    <row r="9" spans="1:74" ht="17.100000000000001" customHeight="1" thickBot="1" x14ac:dyDescent="0.25">
      <c r="A9" s="375"/>
      <c r="B9" s="21" t="str">
        <f t="shared" si="21"/>
        <v/>
      </c>
      <c r="C9" s="22" t="str">
        <f t="shared" si="21"/>
        <v/>
      </c>
      <c r="D9" s="9" t="str">
        <f t="shared" si="21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6"/>
        <v>0</v>
      </c>
      <c r="BE9" s="213">
        <f t="shared" si="7"/>
        <v>0</v>
      </c>
      <c r="BF9" s="215">
        <f t="shared" si="8"/>
        <v>0</v>
      </c>
      <c r="BG9" s="215">
        <f t="shared" si="9"/>
        <v>0</v>
      </c>
      <c r="BH9" s="215" t="str">
        <f t="shared" si="10"/>
        <v/>
      </c>
      <c r="BI9" s="215" t="str">
        <f t="shared" si="11"/>
        <v/>
      </c>
      <c r="BJ9" s="215" t="str">
        <f t="shared" si="12"/>
        <v/>
      </c>
      <c r="BK9" s="215" t="str">
        <f t="shared" si="13"/>
        <v/>
      </c>
      <c r="BL9" s="215" t="str">
        <f t="shared" si="14"/>
        <v/>
      </c>
      <c r="BM9" s="216"/>
      <c r="BN9" s="214"/>
      <c r="BO9" s="215">
        <f t="shared" si="15"/>
        <v>0</v>
      </c>
      <c r="BP9" s="215">
        <f t="shared" si="16"/>
        <v>0</v>
      </c>
      <c r="BQ9" s="215" t="str">
        <f t="shared" si="22"/>
        <v>Castra Regina Regensburg 3</v>
      </c>
      <c r="BR9" s="214">
        <f t="shared" si="17"/>
        <v>2</v>
      </c>
      <c r="BS9" s="215">
        <f t="shared" si="18"/>
        <v>0</v>
      </c>
      <c r="BT9" s="215">
        <f>IF(COUNTIF(BH9:BL9,"&gt;0")&lt;Spielorte!$A$23,0,BE9/Spielorte!$A$23)</f>
        <v>0</v>
      </c>
      <c r="BU9" s="215">
        <f t="shared" si="19"/>
        <v>0</v>
      </c>
      <c r="BV9" s="214">
        <f t="shared" si="20"/>
        <v>0</v>
      </c>
    </row>
    <row r="10" spans="1:74" ht="17.100000000000001" customHeight="1" x14ac:dyDescent="0.2">
      <c r="A10" s="373" t="s">
        <v>2</v>
      </c>
      <c r="B10" s="17" t="str">
        <f t="shared" si="21"/>
        <v>Simon, Diana</v>
      </c>
      <c r="C10" s="18">
        <f t="shared" si="21"/>
        <v>38869</v>
      </c>
      <c r="D10" s="14">
        <f t="shared" si="21"/>
        <v>161</v>
      </c>
      <c r="E10" s="352">
        <f>IF(V10="","",V10)</f>
        <v>0</v>
      </c>
      <c r="F10" s="14">
        <f t="shared" si="0"/>
        <v>130</v>
      </c>
      <c r="G10" s="352">
        <f>IF(X10="","",X10)</f>
        <v>0</v>
      </c>
      <c r="H10" s="14">
        <f t="shared" si="1"/>
        <v>178</v>
      </c>
      <c r="I10" s="352">
        <f>IF(Z10="","",Z10)</f>
        <v>1</v>
      </c>
      <c r="J10" s="14">
        <f t="shared" si="2"/>
        <v>128</v>
      </c>
      <c r="K10" s="352">
        <f>IF(AB10="","",AB10)</f>
        <v>0</v>
      </c>
      <c r="L10" s="14">
        <f t="shared" si="3"/>
        <v>156</v>
      </c>
      <c r="M10" s="352">
        <f>IF(AD10="","",AD10)</f>
        <v>0</v>
      </c>
      <c r="N10" s="14">
        <f t="shared" si="4"/>
        <v>753</v>
      </c>
      <c r="O10" s="352">
        <f>IF(AF10="","",AF10)</f>
        <v>1</v>
      </c>
      <c r="R10" s="355" t="s">
        <v>2</v>
      </c>
      <c r="S10" s="68" t="str">
        <f>IF(T10=0,"",VLOOKUP(T10,Starter!$A$1:$D$196,2,FALSE))</f>
        <v>Simon, Diana</v>
      </c>
      <c r="T10" s="178">
        <v>38869</v>
      </c>
      <c r="U10" s="186">
        <v>161</v>
      </c>
      <c r="V10" s="95">
        <f>IF(SUM(U10:U12)+U26=0,0,IF(ABS(SUM(U10:U12))=U26,0.5,IF(ABS(SUM(U10:U12))&gt;U26,1,0)))</f>
        <v>0</v>
      </c>
      <c r="W10" s="186">
        <v>130</v>
      </c>
      <c r="X10" s="95">
        <f>IF(SUM(W10:W12)+W26=0,0,IF(ABS(SUM(W10:W12))=W26,0.5,IF(ABS(SUM(W10:W12))&gt;W26,1,0)))</f>
        <v>0</v>
      </c>
      <c r="Y10" s="186">
        <v>178</v>
      </c>
      <c r="Z10" s="95">
        <f>IF(SUM(Y10:Y12)+Y26=0,0,IF(ABS(SUM(Y10:Y12))=Y26,0.5,IF(ABS(SUM(Y10:Y12))&gt;Y26,1,0)))</f>
        <v>1</v>
      </c>
      <c r="AA10" s="186">
        <v>128</v>
      </c>
      <c r="AB10" s="95">
        <f>IF(SUM(AA10:AA12)+AA26=0,0,IF(ABS(SUM(AA10:AA12))=AA26,0.5,IF(ABS(SUM(AA10:AA12))&gt;AA26,1,0)))</f>
        <v>0</v>
      </c>
      <c r="AC10" s="186">
        <v>156</v>
      </c>
      <c r="AD10" s="95">
        <f>IF(SUM(AC10:AC12)+AC26=0,0,IF(ABS(SUM(AC10:AC12))=AC26,0.5,IF(ABS(SUM(AC10:AC12))&gt;AC26,1,0)))</f>
        <v>0</v>
      </c>
      <c r="AE10" s="195">
        <f t="shared" si="5"/>
        <v>753</v>
      </c>
      <c r="AF10" s="180">
        <f>SUM(V10+X10+Z10+AB10+AD10)</f>
        <v>1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6"/>
        <v>38869</v>
      </c>
      <c r="BE10" s="213">
        <f t="shared" si="7"/>
        <v>753</v>
      </c>
      <c r="BF10" s="215">
        <f t="shared" si="8"/>
        <v>5</v>
      </c>
      <c r="BG10" s="215">
        <f t="shared" si="9"/>
        <v>5</v>
      </c>
      <c r="BH10" s="215">
        <f t="shared" si="10"/>
        <v>161</v>
      </c>
      <c r="BI10" s="215">
        <f t="shared" si="11"/>
        <v>130</v>
      </c>
      <c r="BJ10" s="215">
        <f t="shared" si="12"/>
        <v>178</v>
      </c>
      <c r="BK10" s="215">
        <f t="shared" si="13"/>
        <v>128</v>
      </c>
      <c r="BL10" s="215">
        <f t="shared" si="14"/>
        <v>156</v>
      </c>
      <c r="BM10" s="216"/>
      <c r="BN10" s="214"/>
      <c r="BO10" s="215">
        <f t="shared" si="15"/>
        <v>178</v>
      </c>
      <c r="BP10" s="215">
        <f t="shared" si="16"/>
        <v>0</v>
      </c>
      <c r="BQ10" s="215" t="str">
        <f t="shared" si="22"/>
        <v>Castra Regina Regensburg 3</v>
      </c>
      <c r="BR10" s="214">
        <f t="shared" si="17"/>
        <v>2</v>
      </c>
      <c r="BS10" s="215">
        <f t="shared" si="18"/>
        <v>753</v>
      </c>
      <c r="BT10" s="215">
        <f>IF(COUNTIF(BH10:BL10,"&gt;0")&lt;Spielorte!$A$23,0,BE10/Spielorte!$A$23)</f>
        <v>150.6</v>
      </c>
      <c r="BU10" s="215">
        <f t="shared" si="19"/>
        <v>0</v>
      </c>
      <c r="BV10" s="214">
        <f t="shared" si="20"/>
        <v>0</v>
      </c>
    </row>
    <row r="11" spans="1:74" ht="17.100000000000001" customHeight="1" x14ac:dyDescent="0.2">
      <c r="A11" s="374"/>
      <c r="B11" s="19" t="str">
        <f t="shared" si="21"/>
        <v/>
      </c>
      <c r="C11" s="20" t="str">
        <f t="shared" si="21"/>
        <v/>
      </c>
      <c r="D11" s="15" t="str">
        <f t="shared" si="21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 t="str">
        <f t="shared" si="2"/>
        <v/>
      </c>
      <c r="K11" s="353"/>
      <c r="L11" s="15" t="str">
        <f t="shared" si="3"/>
        <v/>
      </c>
      <c r="M11" s="353"/>
      <c r="N11" s="15" t="str">
        <f t="shared" si="4"/>
        <v/>
      </c>
      <c r="O11" s="353"/>
      <c r="R11" s="356"/>
      <c r="S11" s="68" t="str">
        <f>IF(T11=0,"",VLOOKUP(T11,Starter!$A$1:$D$196,2,FALSE))</f>
        <v/>
      </c>
      <c r="T11" s="176"/>
      <c r="U11" s="184"/>
      <c r="V11" s="96"/>
      <c r="W11" s="184"/>
      <c r="X11" s="96"/>
      <c r="Y11" s="184"/>
      <c r="Z11" s="96"/>
      <c r="AA11" s="184"/>
      <c r="AB11" s="96"/>
      <c r="AC11" s="184"/>
      <c r="AD11" s="96"/>
      <c r="AE11" s="196">
        <f t="shared" si="5"/>
        <v>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6"/>
        <v>0</v>
      </c>
      <c r="BE11" s="213">
        <f t="shared" si="7"/>
        <v>0</v>
      </c>
      <c r="BF11" s="215">
        <f t="shared" si="8"/>
        <v>0</v>
      </c>
      <c r="BG11" s="215">
        <f t="shared" si="9"/>
        <v>0</v>
      </c>
      <c r="BH11" s="215" t="str">
        <f t="shared" si="10"/>
        <v/>
      </c>
      <c r="BI11" s="215" t="str">
        <f t="shared" si="11"/>
        <v/>
      </c>
      <c r="BJ11" s="215" t="str">
        <f t="shared" si="12"/>
        <v/>
      </c>
      <c r="BK11" s="215" t="str">
        <f t="shared" si="13"/>
        <v/>
      </c>
      <c r="BL11" s="215" t="str">
        <f t="shared" si="14"/>
        <v/>
      </c>
      <c r="BM11" s="216"/>
      <c r="BN11" s="214"/>
      <c r="BO11" s="215">
        <f t="shared" si="15"/>
        <v>0</v>
      </c>
      <c r="BP11" s="215">
        <f t="shared" si="16"/>
        <v>0</v>
      </c>
      <c r="BQ11" s="215" t="str">
        <f t="shared" si="22"/>
        <v>Castra Regina Regensburg 3</v>
      </c>
      <c r="BR11" s="214">
        <f t="shared" si="17"/>
        <v>2</v>
      </c>
      <c r="BS11" s="215">
        <f t="shared" si="18"/>
        <v>0</v>
      </c>
      <c r="BT11" s="215">
        <f>IF(COUNTIF(BH11:BL11,"&gt;0")&lt;Spielorte!$A$23,0,BE11/Spielorte!$A$23)</f>
        <v>0</v>
      </c>
      <c r="BU11" s="215">
        <f t="shared" si="19"/>
        <v>0</v>
      </c>
      <c r="BV11" s="214">
        <f t="shared" si="20"/>
        <v>0</v>
      </c>
    </row>
    <row r="12" spans="1:74" ht="17.100000000000001" customHeight="1" thickBot="1" x14ac:dyDescent="0.25">
      <c r="A12" s="375"/>
      <c r="B12" s="21" t="str">
        <f t="shared" si="21"/>
        <v/>
      </c>
      <c r="C12" s="22" t="str">
        <f t="shared" si="21"/>
        <v/>
      </c>
      <c r="D12" s="9" t="str">
        <f t="shared" si="21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6"/>
        <v>0</v>
      </c>
      <c r="BE12" s="213">
        <f t="shared" si="7"/>
        <v>0</v>
      </c>
      <c r="BF12" s="215">
        <f t="shared" si="8"/>
        <v>0</v>
      </c>
      <c r="BG12" s="215">
        <f t="shared" si="9"/>
        <v>0</v>
      </c>
      <c r="BH12" s="215" t="str">
        <f t="shared" si="10"/>
        <v/>
      </c>
      <c r="BI12" s="215" t="str">
        <f t="shared" si="11"/>
        <v/>
      </c>
      <c r="BJ12" s="215" t="str">
        <f t="shared" si="12"/>
        <v/>
      </c>
      <c r="BK12" s="215" t="str">
        <f t="shared" si="13"/>
        <v/>
      </c>
      <c r="BL12" s="215" t="str">
        <f t="shared" si="14"/>
        <v/>
      </c>
      <c r="BM12" s="216"/>
      <c r="BN12" s="214"/>
      <c r="BO12" s="215">
        <f t="shared" si="15"/>
        <v>0</v>
      </c>
      <c r="BP12" s="215">
        <f t="shared" si="16"/>
        <v>0</v>
      </c>
      <c r="BQ12" s="215" t="str">
        <f t="shared" si="22"/>
        <v>Castra Regina Regensburg 3</v>
      </c>
      <c r="BR12" s="214">
        <f t="shared" si="17"/>
        <v>2</v>
      </c>
      <c r="BS12" s="215">
        <f t="shared" si="18"/>
        <v>0</v>
      </c>
      <c r="BT12" s="215">
        <f>IF(COUNTIF(BH12:BL12,"&gt;0")&lt;Spielorte!$A$23,0,BE12/Spielorte!$A$23)</f>
        <v>0</v>
      </c>
      <c r="BU12" s="215">
        <f t="shared" si="19"/>
        <v>0</v>
      </c>
      <c r="BV12" s="214">
        <f t="shared" si="20"/>
        <v>0</v>
      </c>
    </row>
    <row r="13" spans="1:74" ht="17.100000000000001" customHeight="1" x14ac:dyDescent="0.2">
      <c r="A13" s="373" t="s">
        <v>3</v>
      </c>
      <c r="B13" s="17" t="str">
        <f t="shared" si="21"/>
        <v>Bothe, Willi</v>
      </c>
      <c r="C13" s="18">
        <f t="shared" si="21"/>
        <v>38570</v>
      </c>
      <c r="D13" s="14">
        <f t="shared" si="21"/>
        <v>168</v>
      </c>
      <c r="E13" s="352">
        <f>IF(V13="","",V13)</f>
        <v>0</v>
      </c>
      <c r="F13" s="14">
        <f t="shared" si="0"/>
        <v>162</v>
      </c>
      <c r="G13" s="352">
        <f>IF(X13="","",X13)</f>
        <v>0</v>
      </c>
      <c r="H13" s="14">
        <f t="shared" si="1"/>
        <v>155</v>
      </c>
      <c r="I13" s="352">
        <f>IF(Z13="","",Z13)</f>
        <v>0</v>
      </c>
      <c r="J13" s="14">
        <f t="shared" si="2"/>
        <v>168</v>
      </c>
      <c r="K13" s="352">
        <f>IF(AB13="","",AB13)</f>
        <v>0</v>
      </c>
      <c r="L13" s="14">
        <f t="shared" si="3"/>
        <v>205</v>
      </c>
      <c r="M13" s="352">
        <f>IF(AD13="","",AD13)</f>
        <v>1</v>
      </c>
      <c r="N13" s="14">
        <f t="shared" si="4"/>
        <v>858</v>
      </c>
      <c r="O13" s="352">
        <f>IF(AF13="","",AF13)</f>
        <v>1</v>
      </c>
      <c r="R13" s="355" t="s">
        <v>3</v>
      </c>
      <c r="S13" s="68" t="str">
        <f>IF(T13=0,"",VLOOKUP(T13,Starter!$A$1:$D$196,2,FALSE))</f>
        <v>Bothe, Willi</v>
      </c>
      <c r="T13" s="178">
        <v>38570</v>
      </c>
      <c r="U13" s="186">
        <v>168</v>
      </c>
      <c r="V13" s="95">
        <f>IF(SUM(U13:U15)+U27=0,0,IF(ABS(SUM(U13:U15))=U27,0.5,IF(ABS(SUM(U13:U15))&gt;U27,1,0)))</f>
        <v>0</v>
      </c>
      <c r="W13" s="186">
        <v>162</v>
      </c>
      <c r="X13" s="95">
        <f>IF(SUM(W13:W15)+W27=0,0,IF(ABS(SUM(W13:W15))=W27,0.5,IF(ABS(SUM(W13:W15))&gt;W27,1,0)))</f>
        <v>0</v>
      </c>
      <c r="Y13" s="186">
        <v>155</v>
      </c>
      <c r="Z13" s="95">
        <f>IF(SUM(Y13:Y15)+Y27=0,0,IF(ABS(SUM(Y13:Y15))=Y27,0.5,IF(ABS(SUM(Y13:Y15))&gt;Y27,1,0)))</f>
        <v>0</v>
      </c>
      <c r="AA13" s="186">
        <v>168</v>
      </c>
      <c r="AB13" s="95">
        <f>IF(SUM(AA13:AA15)+AA27=0,0,IF(ABS(SUM(AA13:AA15))=AA27,0.5,IF(ABS(SUM(AA13:AA15))&gt;AA27,1,0)))</f>
        <v>0</v>
      </c>
      <c r="AC13" s="186">
        <v>205</v>
      </c>
      <c r="AD13" s="95">
        <f>IF(SUM(AC13:AC15)+AC27=0,0,IF(ABS(SUM(AC13:AC15))=AC27,0.5,IF(ABS(SUM(AC13:AC15))&gt;AC27,1,0)))</f>
        <v>1</v>
      </c>
      <c r="AE13" s="195">
        <f t="shared" si="5"/>
        <v>858</v>
      </c>
      <c r="AF13" s="180">
        <f>SUM(V13+X13+Z13+AB13+AD13)</f>
        <v>1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6"/>
        <v>38570</v>
      </c>
      <c r="BE13" s="213">
        <f t="shared" si="7"/>
        <v>858</v>
      </c>
      <c r="BF13" s="215">
        <f t="shared" si="8"/>
        <v>5</v>
      </c>
      <c r="BG13" s="215">
        <f t="shared" si="9"/>
        <v>5</v>
      </c>
      <c r="BH13" s="215">
        <f t="shared" si="10"/>
        <v>168</v>
      </c>
      <c r="BI13" s="215">
        <f t="shared" si="11"/>
        <v>162</v>
      </c>
      <c r="BJ13" s="215">
        <f t="shared" si="12"/>
        <v>155</v>
      </c>
      <c r="BK13" s="215">
        <f t="shared" si="13"/>
        <v>168</v>
      </c>
      <c r="BL13" s="215">
        <f t="shared" si="14"/>
        <v>205</v>
      </c>
      <c r="BM13" s="216"/>
      <c r="BN13" s="214"/>
      <c r="BO13" s="215">
        <f t="shared" si="15"/>
        <v>205</v>
      </c>
      <c r="BP13" s="215">
        <f t="shared" si="16"/>
        <v>0</v>
      </c>
      <c r="BQ13" s="215" t="str">
        <f t="shared" si="22"/>
        <v>Castra Regina Regensburg 3</v>
      </c>
      <c r="BR13" s="214">
        <f t="shared" si="17"/>
        <v>2</v>
      </c>
      <c r="BS13" s="215">
        <f t="shared" si="18"/>
        <v>858</v>
      </c>
      <c r="BT13" s="215">
        <f>IF(COUNTIF(BH13:BL13,"&gt;0")&lt;Spielorte!$A$23,0,BE13/Spielorte!$A$23)</f>
        <v>171.6</v>
      </c>
      <c r="BU13" s="215">
        <f t="shared" si="19"/>
        <v>0</v>
      </c>
      <c r="BV13" s="214">
        <f t="shared" si="20"/>
        <v>0</v>
      </c>
    </row>
    <row r="14" spans="1:74" ht="17.100000000000001" customHeight="1" x14ac:dyDescent="0.2">
      <c r="A14" s="374"/>
      <c r="B14" s="19" t="str">
        <f t="shared" si="21"/>
        <v/>
      </c>
      <c r="C14" s="20" t="str">
        <f t="shared" si="21"/>
        <v/>
      </c>
      <c r="D14" s="15" t="str">
        <f t="shared" si="21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6"/>
        <v>0</v>
      </c>
      <c r="BE14" s="213">
        <f t="shared" si="7"/>
        <v>0</v>
      </c>
      <c r="BF14" s="215">
        <f t="shared" si="8"/>
        <v>0</v>
      </c>
      <c r="BG14" s="215">
        <f t="shared" si="9"/>
        <v>0</v>
      </c>
      <c r="BH14" s="215" t="str">
        <f t="shared" si="10"/>
        <v/>
      </c>
      <c r="BI14" s="215" t="str">
        <f t="shared" si="11"/>
        <v/>
      </c>
      <c r="BJ14" s="215" t="str">
        <f t="shared" si="12"/>
        <v/>
      </c>
      <c r="BK14" s="215" t="str">
        <f t="shared" si="13"/>
        <v/>
      </c>
      <c r="BL14" s="215" t="str">
        <f t="shared" si="14"/>
        <v/>
      </c>
      <c r="BM14" s="216"/>
      <c r="BN14" s="214"/>
      <c r="BO14" s="215">
        <f t="shared" si="15"/>
        <v>0</v>
      </c>
      <c r="BP14" s="215">
        <f t="shared" si="16"/>
        <v>0</v>
      </c>
      <c r="BQ14" s="215" t="str">
        <f t="shared" si="22"/>
        <v>Castra Regina Regensburg 3</v>
      </c>
      <c r="BR14" s="214">
        <f t="shared" si="17"/>
        <v>2</v>
      </c>
      <c r="BS14" s="215">
        <f t="shared" si="18"/>
        <v>0</v>
      </c>
      <c r="BT14" s="215">
        <f>IF(COUNTIF(BH14:BL14,"&gt;0")&lt;Spielorte!$A$23,0,BE14/Spielorte!$A$23)</f>
        <v>0</v>
      </c>
      <c r="BU14" s="215">
        <f t="shared" si="19"/>
        <v>0</v>
      </c>
      <c r="BV14" s="214">
        <f t="shared" si="20"/>
        <v>0</v>
      </c>
    </row>
    <row r="15" spans="1:74" ht="17.100000000000001" customHeight="1" thickBot="1" x14ac:dyDescent="0.25">
      <c r="A15" s="375"/>
      <c r="B15" s="21" t="str">
        <f t="shared" si="21"/>
        <v/>
      </c>
      <c r="C15" s="22" t="str">
        <f t="shared" si="21"/>
        <v/>
      </c>
      <c r="D15" s="9" t="str">
        <f t="shared" si="21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6"/>
        <v>0</v>
      </c>
      <c r="BE15" s="213">
        <f t="shared" si="7"/>
        <v>0</v>
      </c>
      <c r="BF15" s="215">
        <f t="shared" si="8"/>
        <v>0</v>
      </c>
      <c r="BG15" s="215">
        <f t="shared" si="9"/>
        <v>0</v>
      </c>
      <c r="BH15" s="215" t="str">
        <f t="shared" si="10"/>
        <v/>
      </c>
      <c r="BI15" s="215" t="str">
        <f t="shared" si="11"/>
        <v/>
      </c>
      <c r="BJ15" s="215" t="str">
        <f t="shared" si="12"/>
        <v/>
      </c>
      <c r="BK15" s="215" t="str">
        <f t="shared" si="13"/>
        <v/>
      </c>
      <c r="BL15" s="215" t="str">
        <f t="shared" si="14"/>
        <v/>
      </c>
      <c r="BM15" s="216"/>
      <c r="BN15" s="214"/>
      <c r="BO15" s="215">
        <f t="shared" si="15"/>
        <v>0</v>
      </c>
      <c r="BP15" s="215">
        <f t="shared" si="16"/>
        <v>0</v>
      </c>
      <c r="BQ15" s="215" t="str">
        <f t="shared" si="22"/>
        <v>Castra Regina Regensburg 3</v>
      </c>
      <c r="BR15" s="214">
        <f t="shared" si="17"/>
        <v>2</v>
      </c>
      <c r="BS15" s="215">
        <f t="shared" si="18"/>
        <v>0</v>
      </c>
      <c r="BT15" s="215">
        <f>IF(COUNTIF(BH15:BL15,"&gt;0")&lt;Spielorte!$A$23,0,BE15/Spielorte!$A$23)</f>
        <v>0</v>
      </c>
      <c r="BU15" s="215">
        <f t="shared" si="19"/>
        <v>0</v>
      </c>
      <c r="BV15" s="214">
        <f t="shared" si="20"/>
        <v>0</v>
      </c>
    </row>
    <row r="16" spans="1:74" ht="17.100000000000001" customHeight="1" x14ac:dyDescent="0.2">
      <c r="A16" s="373" t="s">
        <v>11</v>
      </c>
      <c r="B16" s="17" t="str">
        <f>IF(S16=0,"",S16)</f>
        <v>Aumeier, Bernhard</v>
      </c>
      <c r="C16" s="18">
        <f t="shared" si="21"/>
        <v>25130</v>
      </c>
      <c r="D16" s="14">
        <f t="shared" si="21"/>
        <v>223</v>
      </c>
      <c r="E16" s="352">
        <f>IF(V16="","",V16)</f>
        <v>1</v>
      </c>
      <c r="F16" s="14">
        <f t="shared" si="0"/>
        <v>165</v>
      </c>
      <c r="G16" s="352">
        <f>IF(X16="","",X16)</f>
        <v>1</v>
      </c>
      <c r="H16" s="14">
        <f t="shared" si="1"/>
        <v>171</v>
      </c>
      <c r="I16" s="352">
        <f>IF(Z16="","",Z16)</f>
        <v>0</v>
      </c>
      <c r="J16" s="14">
        <f t="shared" si="2"/>
        <v>178</v>
      </c>
      <c r="K16" s="352">
        <f>IF(AB16="","",AB16)</f>
        <v>1</v>
      </c>
      <c r="L16" s="14">
        <f t="shared" si="3"/>
        <v>172</v>
      </c>
      <c r="M16" s="352">
        <f>IF(AD16="","",AD16)</f>
        <v>0</v>
      </c>
      <c r="N16" s="14">
        <f t="shared" si="4"/>
        <v>909</v>
      </c>
      <c r="O16" s="352">
        <f>IF(AF16="","",AF16)</f>
        <v>3</v>
      </c>
      <c r="R16" s="355" t="s">
        <v>11</v>
      </c>
      <c r="S16" s="68" t="str">
        <f>IF(T16=0,"",VLOOKUP(T16,Starter!$A$1:$D$196,2,FALSE))</f>
        <v>Aumeier, Bernhard</v>
      </c>
      <c r="T16" s="178">
        <v>25130</v>
      </c>
      <c r="U16" s="186">
        <v>223</v>
      </c>
      <c r="V16" s="95">
        <f>IF(SUM(U16:U18)+U28=0,0,IF(ABS(SUM(U16:U18))=U28,0.5,IF(ABS(SUM(U16:U18))&gt;U28,1,0)))</f>
        <v>1</v>
      </c>
      <c r="W16" s="186">
        <v>165</v>
      </c>
      <c r="X16" s="95">
        <f>IF(SUM(W16:W18)+W28=0,0,IF(ABS(SUM(W16:W18))=W28,0.5,IF(ABS(SUM(W16:W18))&gt;W28,1,0)))</f>
        <v>1</v>
      </c>
      <c r="Y16" s="186">
        <v>171</v>
      </c>
      <c r="Z16" s="95">
        <f>IF(SUM(Y16:Y18)+Y28=0,0,IF(ABS(SUM(Y16:Y18))=Y28,0.5,IF(ABS(SUM(Y16:Y18))&gt;Y28,1,0)))</f>
        <v>0</v>
      </c>
      <c r="AA16" s="186">
        <v>178</v>
      </c>
      <c r="AB16" s="95">
        <f>IF(SUM(AA16:AA18)+AA28=0,0,IF(ABS(SUM(AA16:AA18))=AA28,0.5,IF(ABS(SUM(AA16:AA18))&gt;AA28,1,0)))</f>
        <v>1</v>
      </c>
      <c r="AC16" s="186">
        <v>172</v>
      </c>
      <c r="AD16" s="95">
        <f>IF(SUM(AC16:AC18)+AC28=0,0,IF(ABS(SUM(AC16:AC18))=AC28,0.5,IF(ABS(SUM(AC16:AC18))&gt;AC28,1,0)))</f>
        <v>0</v>
      </c>
      <c r="AE16" s="195">
        <f t="shared" si="5"/>
        <v>909</v>
      </c>
      <c r="AF16" s="180">
        <f>SUM(V16+X16+Z16+AB16+AD16)</f>
        <v>3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6"/>
        <v>25130</v>
      </c>
      <c r="BE16" s="213">
        <f t="shared" si="7"/>
        <v>909</v>
      </c>
      <c r="BF16" s="215">
        <f t="shared" si="8"/>
        <v>5</v>
      </c>
      <c r="BG16" s="215">
        <f t="shared" si="9"/>
        <v>5</v>
      </c>
      <c r="BH16" s="215">
        <f t="shared" si="10"/>
        <v>223</v>
      </c>
      <c r="BI16" s="215">
        <f t="shared" si="11"/>
        <v>165</v>
      </c>
      <c r="BJ16" s="215">
        <f t="shared" si="12"/>
        <v>171</v>
      </c>
      <c r="BK16" s="215">
        <f t="shared" si="13"/>
        <v>178</v>
      </c>
      <c r="BL16" s="215">
        <f t="shared" si="14"/>
        <v>172</v>
      </c>
      <c r="BM16" s="216"/>
      <c r="BN16" s="214"/>
      <c r="BO16" s="215">
        <f t="shared" si="15"/>
        <v>223</v>
      </c>
      <c r="BP16" s="215">
        <f t="shared" si="16"/>
        <v>0</v>
      </c>
      <c r="BQ16" s="215" t="str">
        <f t="shared" si="22"/>
        <v>Castra Regina Regensburg 3</v>
      </c>
      <c r="BR16" s="214">
        <f t="shared" si="17"/>
        <v>2</v>
      </c>
      <c r="BS16" s="215">
        <f t="shared" si="18"/>
        <v>909</v>
      </c>
      <c r="BT16" s="215">
        <f>IF(COUNTIF(BH16:BL16,"&gt;0")&lt;Spielorte!$A$23,0,BE16/Spielorte!$A$23)</f>
        <v>181.8</v>
      </c>
      <c r="BU16" s="215">
        <f t="shared" si="19"/>
        <v>0</v>
      </c>
      <c r="BV16" s="214">
        <f t="shared" si="20"/>
        <v>0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21"/>
        <v/>
      </c>
      <c r="D17" s="15" t="str">
        <f t="shared" si="21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6"/>
        <v>0</v>
      </c>
      <c r="BE17" s="213">
        <f t="shared" si="7"/>
        <v>0</v>
      </c>
      <c r="BF17" s="215">
        <f t="shared" si="8"/>
        <v>0</v>
      </c>
      <c r="BG17" s="215">
        <f t="shared" si="9"/>
        <v>0</v>
      </c>
      <c r="BH17" s="215" t="str">
        <f t="shared" si="10"/>
        <v/>
      </c>
      <c r="BI17" s="215" t="str">
        <f t="shared" si="11"/>
        <v/>
      </c>
      <c r="BJ17" s="215" t="str">
        <f t="shared" si="12"/>
        <v/>
      </c>
      <c r="BK17" s="215" t="str">
        <f t="shared" si="13"/>
        <v/>
      </c>
      <c r="BL17" s="215" t="str">
        <f t="shared" si="14"/>
        <v/>
      </c>
      <c r="BM17" s="216"/>
      <c r="BN17" s="214"/>
      <c r="BO17" s="215">
        <f t="shared" si="15"/>
        <v>0</v>
      </c>
      <c r="BP17" s="215">
        <f t="shared" si="16"/>
        <v>0</v>
      </c>
      <c r="BQ17" s="215" t="str">
        <f t="shared" si="22"/>
        <v>Castra Regina Regensburg 3</v>
      </c>
      <c r="BR17" s="214">
        <f t="shared" si="17"/>
        <v>2</v>
      </c>
      <c r="BS17" s="215">
        <f t="shared" si="18"/>
        <v>0</v>
      </c>
      <c r="BT17" s="215">
        <f>IF(COUNTIF(BH17:BL17,"&gt;0")&lt;Spielorte!$A$23,0,BE17/Spielorte!$A$23)</f>
        <v>0</v>
      </c>
      <c r="BU17" s="215">
        <f t="shared" si="19"/>
        <v>0</v>
      </c>
      <c r="BV17" s="214">
        <f t="shared" si="20"/>
        <v>0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21"/>
        <v/>
      </c>
      <c r="D18" s="9" t="str">
        <f t="shared" si="21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6"/>
        <v>0</v>
      </c>
      <c r="BE18" s="213">
        <f t="shared" si="7"/>
        <v>0</v>
      </c>
      <c r="BF18" s="215">
        <f t="shared" si="8"/>
        <v>0</v>
      </c>
      <c r="BG18" s="215">
        <f t="shared" si="9"/>
        <v>0</v>
      </c>
      <c r="BH18" s="215" t="str">
        <f t="shared" si="10"/>
        <v/>
      </c>
      <c r="BI18" s="215" t="str">
        <f t="shared" si="11"/>
        <v/>
      </c>
      <c r="BJ18" s="215" t="str">
        <f t="shared" si="12"/>
        <v/>
      </c>
      <c r="BK18" s="215" t="str">
        <f t="shared" si="13"/>
        <v/>
      </c>
      <c r="BL18" s="215" t="str">
        <f t="shared" si="14"/>
        <v/>
      </c>
      <c r="BM18" s="216"/>
      <c r="BN18" s="214"/>
      <c r="BO18" s="215">
        <f t="shared" si="15"/>
        <v>0</v>
      </c>
      <c r="BP18" s="215">
        <f t="shared" si="16"/>
        <v>0</v>
      </c>
      <c r="BQ18" s="215" t="str">
        <f t="shared" si="22"/>
        <v>Castra Regina Regensburg 3</v>
      </c>
      <c r="BR18" s="214">
        <f t="shared" si="17"/>
        <v>2</v>
      </c>
      <c r="BS18" s="215">
        <f t="shared" si="18"/>
        <v>0</v>
      </c>
      <c r="BT18" s="215">
        <f>IF(COUNTIF(BH18:BL18,"&gt;0")&lt;Spielorte!$A$23,0,BE18/Spielorte!$A$23)</f>
        <v>0</v>
      </c>
      <c r="BU18" s="215">
        <f t="shared" si="19"/>
        <v>0</v>
      </c>
      <c r="BV18" s="214">
        <f t="shared" si="20"/>
        <v>0</v>
      </c>
    </row>
    <row r="19" spans="1:74" ht="27.75" customHeight="1" thickBot="1" x14ac:dyDescent="0.25">
      <c r="B19" s="11" t="str">
        <f>IF(S19=0,"",S19)</f>
        <v>Gesamt</v>
      </c>
      <c r="C19" s="26" t="str">
        <f t="shared" si="21"/>
        <v/>
      </c>
      <c r="D19" s="16">
        <f t="shared" si="21"/>
        <v>716</v>
      </c>
      <c r="E19" s="12">
        <f>IF(V19="","",V19)</f>
        <v>0</v>
      </c>
      <c r="F19" s="16">
        <f t="shared" si="0"/>
        <v>645</v>
      </c>
      <c r="G19" s="12">
        <f>IF(X19="","",X19)</f>
        <v>0</v>
      </c>
      <c r="H19" s="16">
        <f t="shared" si="1"/>
        <v>632</v>
      </c>
      <c r="I19" s="12">
        <f>IF(Z19="","",Z19)</f>
        <v>0</v>
      </c>
      <c r="J19" s="16">
        <f t="shared" si="2"/>
        <v>631</v>
      </c>
      <c r="K19" s="12">
        <f>IF(AB19="","",AB19)</f>
        <v>0</v>
      </c>
      <c r="L19" s="16">
        <f t="shared" si="3"/>
        <v>674</v>
      </c>
      <c r="M19" s="12">
        <f>IF(AD19="","",AD19)</f>
        <v>0</v>
      </c>
      <c r="N19" s="16">
        <f t="shared" si="4"/>
        <v>3298</v>
      </c>
      <c r="O19" s="12">
        <f>IF(AF19="","",AF19)</f>
        <v>0</v>
      </c>
      <c r="S19" s="11" t="s">
        <v>1791</v>
      </c>
      <c r="T19" s="71"/>
      <c r="U19" s="188">
        <f>ABS(SUM(U7:U9))+ABS(SUM(U10:U12))+ABS(SUM(U13:U15))+ABS(SUM(U16:U18))</f>
        <v>716</v>
      </c>
      <c r="V19" s="98">
        <f>IF(U19+U29=0,0,IF(U19=U29,1,IF(U19&gt;U29,2,0)))</f>
        <v>0</v>
      </c>
      <c r="W19" s="188">
        <f>ABS(SUM(W7:W9))+ABS(SUM(W10:W12))+ABS(SUM(W13:W15))+ABS(SUM(W16:W18))</f>
        <v>645</v>
      </c>
      <c r="X19" s="98">
        <f>IF(W19+W29=0,0,IF(W19=W29,1,IF(W19&gt;W29,2,0)))</f>
        <v>0</v>
      </c>
      <c r="Y19" s="188">
        <f>ABS(SUM(Y7:Y9))+ABS(SUM(Y10:Y12))+ABS(SUM(Y13:Y15))+ABS(SUM(Y16:Y18))</f>
        <v>632</v>
      </c>
      <c r="Z19" s="98">
        <f>IF(Y19+Y29=0,0,IF(Y19=Y29,1,IF(Y19&gt;Y29,2,0)))</f>
        <v>0</v>
      </c>
      <c r="AA19" s="188">
        <f>ABS(SUM(AA7:AA9))+ABS(SUM(AA10:AA12))+ABS(SUM(AA13:AA15))+ABS(SUM(AA16:AA18))</f>
        <v>631</v>
      </c>
      <c r="AB19" s="98">
        <f>IF(AA19+AA29=0,0,IF(AA19=AA29,1,IF(AA19&gt;AA29,2,0)))</f>
        <v>0</v>
      </c>
      <c r="AC19" s="188">
        <f>ABS(SUM(AC7:AC9))+ABS(SUM(AC10:AC12))+ABS(SUM(AC13:AC15))+ABS(SUM(AC16:AC18))</f>
        <v>674</v>
      </c>
      <c r="AD19" s="98">
        <f>IF(AC19+AC29=0,0,IF(AC19=AC29,1,IF(AC19&gt;AC29,2,0)))</f>
        <v>0</v>
      </c>
      <c r="AE19" s="198">
        <f>SUM(U19+W19+Y19+AA19+AC19)</f>
        <v>3298</v>
      </c>
      <c r="AF19" s="12">
        <f>SUM(V19+X19+Z19+AB19+AD19)</f>
        <v>0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21"/>
        <v/>
      </c>
      <c r="D20" s="1" t="str">
        <f t="shared" si="21"/>
        <v/>
      </c>
      <c r="E20" s="23">
        <f>IF(V20="","",V20)</f>
        <v>1</v>
      </c>
      <c r="F20" s="1" t="str">
        <f t="shared" si="0"/>
        <v/>
      </c>
      <c r="G20" s="23">
        <f>IF(X20="","",X20)</f>
        <v>2</v>
      </c>
      <c r="H20" s="1" t="str">
        <f t="shared" si="1"/>
        <v/>
      </c>
      <c r="I20" s="23">
        <f>IF(Z20="","",Z20)</f>
        <v>1</v>
      </c>
      <c r="J20" s="1" t="str">
        <f t="shared" si="2"/>
        <v/>
      </c>
      <c r="K20" s="23">
        <f>IF(AB20="","",AB20)</f>
        <v>1</v>
      </c>
      <c r="L20" s="1" t="str">
        <f t="shared" si="3"/>
        <v/>
      </c>
      <c r="M20" s="23">
        <f>IF(AD20="","",AD20)</f>
        <v>1.5</v>
      </c>
      <c r="N20" s="1" t="str">
        <f t="shared" si="4"/>
        <v/>
      </c>
      <c r="O20" s="23">
        <f>IF(AF20="","",AF20)</f>
        <v>6.5</v>
      </c>
      <c r="S20" s="8" t="s">
        <v>1802</v>
      </c>
      <c r="T20" s="1"/>
      <c r="U20" s="1"/>
      <c r="V20" s="72">
        <f>SUM(V7:V19)</f>
        <v>1</v>
      </c>
      <c r="W20" s="1"/>
      <c r="X20" s="72">
        <f>SUM(X7:X19)</f>
        <v>2</v>
      </c>
      <c r="Y20" s="1"/>
      <c r="Z20" s="72">
        <f>SUM(Z7:Z19)</f>
        <v>1</v>
      </c>
      <c r="AA20" s="1"/>
      <c r="AB20" s="72">
        <f>SUM(AB7:AB19)</f>
        <v>1</v>
      </c>
      <c r="AC20" s="1"/>
      <c r="AD20" s="72">
        <f>SUM(AD7:AD19)</f>
        <v>1.5</v>
      </c>
      <c r="AE20" s="1"/>
      <c r="AF20" s="72">
        <f>SUM(AF7:AF19)</f>
        <v>6.5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6.5</v>
      </c>
      <c r="BB20" s="213">
        <f>AE19</f>
        <v>3298</v>
      </c>
      <c r="BC20" s="214">
        <f>+S2</f>
        <v>1</v>
      </c>
      <c r="BF20" s="215">
        <f>SUM(BF1:BF19)</f>
        <v>20</v>
      </c>
      <c r="BM20" s="212">
        <f>+BB20/1000000+BA20</f>
        <v>6.503298</v>
      </c>
      <c r="BN20" s="214">
        <f>RANK(BM20,BM:BM)</f>
        <v>6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K24" si="23">IF(S22=0,"",S22)</f>
        <v>Gegner-Nr.:</v>
      </c>
      <c r="C22" s="5" t="str">
        <f t="shared" si="23"/>
        <v>&gt;&gt;&gt;&gt;</v>
      </c>
      <c r="D22" s="350">
        <f t="shared" si="23"/>
        <v>5</v>
      </c>
      <c r="E22" s="350" t="str">
        <f t="shared" si="23"/>
        <v/>
      </c>
      <c r="F22" s="350">
        <f t="shared" si="23"/>
        <v>4</v>
      </c>
      <c r="G22" s="350" t="str">
        <f t="shared" si="23"/>
        <v/>
      </c>
      <c r="H22" s="350">
        <f t="shared" si="23"/>
        <v>3</v>
      </c>
      <c r="I22" s="350" t="str">
        <f t="shared" si="23"/>
        <v/>
      </c>
      <c r="J22" s="350">
        <f t="shared" si="23"/>
        <v>6</v>
      </c>
      <c r="K22" s="350" t="str">
        <f t="shared" si="23"/>
        <v/>
      </c>
      <c r="L22" s="350">
        <f t="shared" ref="L22:M24" si="24">IF(AC22=0,"",AC22)</f>
        <v>2</v>
      </c>
      <c r="M22" s="350" t="str">
        <f t="shared" si="24"/>
        <v/>
      </c>
      <c r="N22" s="351"/>
      <c r="O22" s="351"/>
      <c r="S22" s="13" t="s">
        <v>1789</v>
      </c>
      <c r="T22" s="5" t="s">
        <v>1790</v>
      </c>
      <c r="U22" s="369">
        <f>VLOOKUP($S2,Schlüssel!$A$5:$DG$10,83)</f>
        <v>5</v>
      </c>
      <c r="V22" s="370"/>
      <c r="W22" s="369">
        <f>VLOOKUP($S2,Schlüssel!$A$5:$EK$10,84)</f>
        <v>4</v>
      </c>
      <c r="X22" s="370"/>
      <c r="Y22" s="369">
        <f>VLOOKUP($S2,Schlüssel!$A$5:$EK$10,85)</f>
        <v>3</v>
      </c>
      <c r="Z22" s="370"/>
      <c r="AA22" s="369">
        <f>VLOOKUP($S2,Schlüssel!$A$5:$EK$10,86)</f>
        <v>6</v>
      </c>
      <c r="AB22" s="370"/>
      <c r="AC22" s="369">
        <f>VLOOKUP($S2,Schlüssel!$A$5:$EK$10,87)</f>
        <v>2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si="23"/>
        <v/>
      </c>
      <c r="C23" s="1" t="str">
        <f t="shared" si="23"/>
        <v/>
      </c>
      <c r="D23" s="347" t="str">
        <f t="shared" si="23"/>
        <v>Castra Regina Regensburg 2</v>
      </c>
      <c r="E23" s="348" t="str">
        <f t="shared" si="23"/>
        <v/>
      </c>
      <c r="F23" s="347" t="str">
        <f t="shared" si="23"/>
        <v>Kings Club Bayreuth Land 3</v>
      </c>
      <c r="G23" s="348" t="str">
        <f t="shared" si="23"/>
        <v/>
      </c>
      <c r="H23" s="347" t="str">
        <f t="shared" si="23"/>
        <v>Kings Club Bayreuth Land 2</v>
      </c>
      <c r="I23" s="348" t="str">
        <f t="shared" si="23"/>
        <v/>
      </c>
      <c r="J23" s="347" t="str">
        <f t="shared" si="23"/>
        <v>Adler Nürnberg 1</v>
      </c>
      <c r="K23" s="348" t="str">
        <f t="shared" si="23"/>
        <v/>
      </c>
      <c r="L23" s="347" t="str">
        <f t="shared" si="24"/>
        <v>Herzogenaurach 1</v>
      </c>
      <c r="M23" s="348" t="str">
        <f t="shared" si="24"/>
        <v/>
      </c>
      <c r="N23" s="349"/>
      <c r="O23" s="349"/>
      <c r="S23" s="4"/>
      <c r="T23" s="1"/>
      <c r="U23" s="347" t="str">
        <f>VLOOKUP(U22,Schlüssel!$A$5:$K$10,2)</f>
        <v>Castra Regina Regensburg 2</v>
      </c>
      <c r="V23" s="348"/>
      <c r="W23" s="347" t="str">
        <f>VLOOKUP(W22,Schlüssel!$A$5:$K$10,2)</f>
        <v>Kings Club Bayreuth Land 3</v>
      </c>
      <c r="X23" s="348"/>
      <c r="Y23" s="347" t="str">
        <f>VLOOKUP(Y22,Schlüssel!$A$5:$K$10,2)</f>
        <v>Kings Club Bayreuth Land 2</v>
      </c>
      <c r="Z23" s="348"/>
      <c r="AA23" s="347" t="str">
        <f>VLOOKUP(AA22,Schlüssel!$A$5:$K$10,2)</f>
        <v>Adler Nürnberg 1</v>
      </c>
      <c r="AB23" s="348"/>
      <c r="AC23" s="347" t="str">
        <f>VLOOKUP(AC22,Schlüssel!$A$5:$K$10,2)</f>
        <v>Herzogenaurach 1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3"/>
        <v/>
      </c>
      <c r="C24" s="1" t="str">
        <f t="shared" si="23"/>
        <v/>
      </c>
      <c r="D24" s="346" t="str">
        <f t="shared" si="23"/>
        <v/>
      </c>
      <c r="E24" s="346" t="str">
        <f t="shared" si="23"/>
        <v/>
      </c>
      <c r="F24" s="346" t="str">
        <f t="shared" si="23"/>
        <v/>
      </c>
      <c r="G24" s="346" t="str">
        <f t="shared" si="23"/>
        <v/>
      </c>
      <c r="H24" s="346" t="str">
        <f t="shared" si="23"/>
        <v/>
      </c>
      <c r="I24" s="346" t="str">
        <f t="shared" si="23"/>
        <v/>
      </c>
      <c r="J24" s="346" t="str">
        <f t="shared" si="23"/>
        <v/>
      </c>
      <c r="K24" s="346" t="str">
        <f t="shared" si="23"/>
        <v/>
      </c>
      <c r="L24" s="346" t="str">
        <f t="shared" si="24"/>
        <v/>
      </c>
      <c r="M24" s="346" t="str">
        <f t="shared" si="24"/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202</v>
      </c>
      <c r="E25" s="344" t="str">
        <f>IF(V25=0,"",V25)</f>
        <v/>
      </c>
      <c r="F25" s="344">
        <f>IF(W25=301,"",W25)</f>
        <v>182</v>
      </c>
      <c r="G25" s="344" t="str">
        <f>IF(X25=0,"",X25)</f>
        <v/>
      </c>
      <c r="H25" s="344">
        <f>IF(Y25=301,"",Y25)</f>
        <v>179</v>
      </c>
      <c r="I25" s="344" t="str">
        <f>IF(Z25=0,"",Z25)</f>
        <v/>
      </c>
      <c r="J25" s="344">
        <f>IF(AA25=301,"",AA25)</f>
        <v>169</v>
      </c>
      <c r="K25" s="344" t="str">
        <f>IF(AB25=0,"",AB25)</f>
        <v/>
      </c>
      <c r="L25" s="344">
        <f>IF(AC25=301,"",AC25)</f>
        <v>141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202</v>
      </c>
      <c r="V25" s="368"/>
      <c r="W25" s="367">
        <f>ABS(INDEX(W:W,MATCH(W22,$S:$S,0)+5)+INDEX(W:W,MATCH(W22,$S:$S,0)+6)+INDEX(W:W,MATCH(W22,$S:$S,0)+7))</f>
        <v>182</v>
      </c>
      <c r="X25" s="368"/>
      <c r="Y25" s="367">
        <f>ABS(INDEX(Y:Y,MATCH(Y22,$S:$S,0)+5)+INDEX(Y:Y,MATCH(Y22,$S:$S,0)+6)+INDEX(Y:Y,MATCH(Y22,$S:$S,0)+7))</f>
        <v>179</v>
      </c>
      <c r="Z25" s="368"/>
      <c r="AA25" s="367">
        <f>ABS(INDEX(AA:AA,MATCH(AA22,$S:$S,0)+5)+INDEX(AA:AA,MATCH(AA22,$S:$S,0)+6)+INDEX(AA:AA,MATCH(AA22,$S:$S,0)+7))</f>
        <v>169</v>
      </c>
      <c r="AB25" s="368"/>
      <c r="AC25" s="367">
        <f>ABS(INDEX(AC:AC,MATCH(AC22,$S:$S,0)+5)+INDEX(AC:AC,MATCH(AC22,$S:$S,0)+6)+INDEX(AC:AC,MATCH(AC22,$S:$S,0)+7))</f>
        <v>141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180</v>
      </c>
      <c r="E26" s="344" t="str">
        <f>IF(V26=0,"",V26)</f>
        <v/>
      </c>
      <c r="F26" s="344">
        <f>IF(W26=301,"",W26)</f>
        <v>185</v>
      </c>
      <c r="G26" s="344" t="str">
        <f>IF(X26=0,"",X26)</f>
        <v/>
      </c>
      <c r="H26" s="344">
        <f>IF(Y26=301,"",Y26)</f>
        <v>150</v>
      </c>
      <c r="I26" s="344" t="str">
        <f>IF(Z26=0,"",Z26)</f>
        <v/>
      </c>
      <c r="J26" s="344">
        <f>IF(AA26=301,"",AA26)</f>
        <v>171</v>
      </c>
      <c r="K26" s="344" t="str">
        <f>IF(AB26=0,"",AB26)</f>
        <v/>
      </c>
      <c r="L26" s="344">
        <f>IF(AC26=301,"",AC26)</f>
        <v>178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180</v>
      </c>
      <c r="V26" s="366"/>
      <c r="W26" s="365">
        <f>ABS(INDEX(W:W,MATCH(W22,$S:$S,0)+8)+INDEX(W:W,MATCH(W22,$S:$S,0)+9)+INDEX(W:W,MATCH(W22,$S:$S,0)+10))</f>
        <v>185</v>
      </c>
      <c r="X26" s="366"/>
      <c r="Y26" s="365">
        <f>ABS(INDEX(Y:Y,MATCH(Y22,$S:$S,0)+8)+INDEX(Y:Y,MATCH(Y22,$S:$S,0)+9)+INDEX(Y:Y,MATCH(Y22,$S:$S,0)+10))</f>
        <v>150</v>
      </c>
      <c r="Z26" s="366"/>
      <c r="AA26" s="365">
        <f>ABS(INDEX(AA:AA,MATCH(AA22,$S:$S,0)+8)+INDEX(AA:AA,MATCH(AA22,$S:$S,0)+9)+INDEX(AA:AA,MATCH(AA22,$S:$S,0)+10))</f>
        <v>171</v>
      </c>
      <c r="AB26" s="366"/>
      <c r="AC26" s="365">
        <f>ABS(INDEX(AC:AC,MATCH(AC22,$S:$S,0)+8)+INDEX(AC:AC,MATCH(AC22,$S:$S,0)+9)+INDEX(AC:AC,MATCH(AC22,$S:$S,0)+10))</f>
        <v>178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225</v>
      </c>
      <c r="E27" s="344" t="str">
        <f>IF(V27=0,"",V27)</f>
        <v/>
      </c>
      <c r="F27" s="344">
        <f>IF(W27=301,"",W27)</f>
        <v>205</v>
      </c>
      <c r="G27" s="344" t="str">
        <f>IF(X27=0,"",X27)</f>
        <v/>
      </c>
      <c r="H27" s="344">
        <f>IF(Y27=301,"",Y27)</f>
        <v>162</v>
      </c>
      <c r="I27" s="344" t="str">
        <f>IF(Z27=0,"",Z27)</f>
        <v/>
      </c>
      <c r="J27" s="344">
        <f>IF(AA27=301,"",AA27)</f>
        <v>172</v>
      </c>
      <c r="K27" s="344" t="str">
        <f>IF(AB27=0,"",AB27)</f>
        <v/>
      </c>
      <c r="L27" s="344">
        <f>IF(AC27=301,"",AC27)</f>
        <v>180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225</v>
      </c>
      <c r="V27" s="366"/>
      <c r="W27" s="365">
        <f>ABS(INDEX(W:W,MATCH(W22,$S:$S,0)+11)+INDEX(W:W,MATCH(W22,$S:$S,0)+12)+INDEX(W:W,MATCH(W22,$S:$S,0)+13))</f>
        <v>205</v>
      </c>
      <c r="X27" s="366"/>
      <c r="Y27" s="365">
        <f>ABS(INDEX(Y:Y,MATCH(Y22,$S:$S,0)+11)+INDEX(Y:Y,MATCH(Y22,$S:$S,0)+12)+INDEX(Y:Y,MATCH(Y22,$S:$S,0)+13))</f>
        <v>162</v>
      </c>
      <c r="Z27" s="366"/>
      <c r="AA27" s="365">
        <f>ABS(INDEX(AA:AA,MATCH(AA22,$S:$S,0)+11)+INDEX(AA:AA,MATCH(AA22,$S:$S,0)+12)+INDEX(AA:AA,MATCH(AA22,$S:$S,0)+13))</f>
        <v>172</v>
      </c>
      <c r="AB27" s="366"/>
      <c r="AC27" s="365">
        <f>ABS(INDEX(AC:AC,MATCH(AC22,$S:$S,0)+11)+INDEX(AC:AC,MATCH(AC22,$S:$S,0)+12)+INDEX(AC:AC,MATCH(AC22,$S:$S,0)+13))</f>
        <v>180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192</v>
      </c>
      <c r="E28" s="344" t="str">
        <f>IF(V28=0,"",V28)</f>
        <v/>
      </c>
      <c r="F28" s="344">
        <f>IF(W28=301,"",W28)</f>
        <v>147</v>
      </c>
      <c r="G28" s="344" t="str">
        <f>IF(X28=0,"",X28)</f>
        <v/>
      </c>
      <c r="H28" s="344">
        <f>IF(Y28=301,"",Y28)</f>
        <v>226</v>
      </c>
      <c r="I28" s="344" t="str">
        <f>IF(Z28=0,"",Z28)</f>
        <v/>
      </c>
      <c r="J28" s="344">
        <f>IF(AA28=301,"",AA28)</f>
        <v>175</v>
      </c>
      <c r="K28" s="344" t="str">
        <f>IF(AB28=0,"",AB28)</f>
        <v/>
      </c>
      <c r="L28" s="344">
        <f>IF(AC28=301,"",AC28)</f>
        <v>187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192</v>
      </c>
      <c r="V28" s="366"/>
      <c r="W28" s="365">
        <f>ABS(INDEX(W:W,MATCH(W22,$S:$S,0)+14)+INDEX(W:W,MATCH(W22,$S:$S,0)+15)+INDEX(W:W,MATCH(W22,$S:$S,0)+16))</f>
        <v>147</v>
      </c>
      <c r="X28" s="366"/>
      <c r="Y28" s="365">
        <f>ABS(INDEX(Y:Y,MATCH(Y22,$S:$S,0)+14)+INDEX(Y:Y,MATCH(Y22,$S:$S,0)+15)+INDEX(Y:Y,MATCH(Y22,$S:$S,0)+16))</f>
        <v>226</v>
      </c>
      <c r="Z28" s="366"/>
      <c r="AA28" s="365">
        <f>ABS(INDEX(AA:AA,MATCH(AA22,$S:$S,0)+14)+INDEX(AA:AA,MATCH(AA22,$S:$S,0)+15)+INDEX(AA:AA,MATCH(AA22,$S:$S,0)+16))</f>
        <v>175</v>
      </c>
      <c r="AB28" s="366"/>
      <c r="AC28" s="365">
        <f>ABS(INDEX(AC:AC,MATCH(AC22,$S:$S,0)+14)+INDEX(AC:AC,MATCH(AC22,$S:$S,0)+15)+INDEX(AC:AC,MATCH(AC22,$S:$S,0)+16))</f>
        <v>187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799</v>
      </c>
      <c r="E29" s="343" t="str">
        <f>IF(V29=0,"",V29)</f>
        <v/>
      </c>
      <c r="F29" s="343">
        <f>IF(W29=1505,"",W29)</f>
        <v>719</v>
      </c>
      <c r="G29" s="343" t="str">
        <f>IF(X29=0,"",X29)</f>
        <v/>
      </c>
      <c r="H29" s="343">
        <f>IF(Y29=1505,"",Y29)</f>
        <v>717</v>
      </c>
      <c r="I29" s="343" t="str">
        <f>IF(Z29=0,"",Z29)</f>
        <v/>
      </c>
      <c r="J29" s="343">
        <f>IF(AA29=1505,"",AA29)</f>
        <v>687</v>
      </c>
      <c r="K29" s="343" t="str">
        <f>IF(AB29=0,"",AB29)</f>
        <v/>
      </c>
      <c r="L29" s="343">
        <f>IF(AC29=1505,"",AC29)</f>
        <v>686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799</v>
      </c>
      <c r="V29" s="360"/>
      <c r="W29" s="359">
        <f>SUM(W25:W28)</f>
        <v>719</v>
      </c>
      <c r="X29" s="360"/>
      <c r="Y29" s="359">
        <f>SUM(Y25:Y28)</f>
        <v>717</v>
      </c>
      <c r="Z29" s="360"/>
      <c r="AA29" s="359">
        <f>SUM(AA25:AA28)</f>
        <v>687</v>
      </c>
      <c r="AB29" s="360"/>
      <c r="AC29" s="359">
        <f>SUM(AC25:AC28)</f>
        <v>686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/>
      <c r="N31" s="376" t="str">
        <f>AD31</f>
        <v>13.04.</v>
      </c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Schlüssel!$CO$1</f>
        <v>13.04.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Nürnberg West Bowling</v>
      </c>
      <c r="F32" s="77"/>
      <c r="G32" s="77"/>
      <c r="H32" s="77"/>
      <c r="I32" s="77"/>
      <c r="J32" s="77"/>
      <c r="K32" s="77"/>
      <c r="L32" s="29" t="s">
        <v>1784</v>
      </c>
      <c r="M32" s="86">
        <v>5</v>
      </c>
      <c r="N32" s="28"/>
      <c r="R32" s="49"/>
      <c r="S32" s="50">
        <v>2</v>
      </c>
      <c r="U32" s="30" t="s">
        <v>1786</v>
      </c>
      <c r="V32" s="84" t="str">
        <f>Schlüssel!$CE$2</f>
        <v>Nürnberg West Bowling</v>
      </c>
      <c r="X32" s="77"/>
      <c r="Y32" s="77"/>
      <c r="Z32" s="77"/>
      <c r="AA32" s="77"/>
      <c r="AB32" s="77"/>
      <c r="AC32" s="29" t="s">
        <v>1784</v>
      </c>
      <c r="AD32" s="34">
        <v>5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VLOOKUP(S32,Schlüssel!$A$5:$DZ$10,93)</f>
        <v>4</v>
      </c>
      <c r="W34" s="193" t="s">
        <v>10</v>
      </c>
      <c r="X34" s="191">
        <f>VLOOKUP(S32,Schlüssel!$A$5:$DZ$10,94)</f>
        <v>5</v>
      </c>
      <c r="Y34" s="193" t="s">
        <v>10</v>
      </c>
      <c r="Z34" s="191">
        <f>VLOOKUP(S32,Schlüssel!$A$5:$DZ$10,95)</f>
        <v>7</v>
      </c>
      <c r="AA34" s="193" t="s">
        <v>10</v>
      </c>
      <c r="AB34" s="191">
        <f>VLOOKUP(S32,Schlüssel!$A$5:$DZ$10,96)</f>
        <v>3</v>
      </c>
      <c r="AC34" s="193" t="s">
        <v>10</v>
      </c>
      <c r="AD34" s="192">
        <f>VLOOKUP(S32,Schlüssel!$A$5:$DZ$10,97)</f>
        <v>6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>Voss, Horst</v>
      </c>
      <c r="C37" s="18">
        <f>IF(T37=0,"",T37)</f>
        <v>7282</v>
      </c>
      <c r="D37" s="14">
        <f>IF(U37=0,"",U37)</f>
        <v>181</v>
      </c>
      <c r="E37" s="352">
        <f>IF(V37="","",V37)</f>
        <v>1</v>
      </c>
      <c r="F37" s="14">
        <f t="shared" ref="F37:F50" si="26">IF(W37=0,"",W37)</f>
        <v>225</v>
      </c>
      <c r="G37" s="352">
        <f>IF(X37="","",X37)</f>
        <v>1</v>
      </c>
      <c r="H37" s="14">
        <f t="shared" ref="H37:H50" si="27">IF(Y37=0,"",Y37)</f>
        <v>171</v>
      </c>
      <c r="I37" s="352">
        <f>IF(Z37="","",Z37)</f>
        <v>0</v>
      </c>
      <c r="J37" s="14">
        <f t="shared" ref="J37:J50" si="28">IF(AA37=0,"",AA37)</f>
        <v>186</v>
      </c>
      <c r="K37" s="352">
        <f>IF(AB37="","",AB37)</f>
        <v>1</v>
      </c>
      <c r="L37" s="14">
        <f t="shared" ref="L37:L50" si="29">IF(AC37=0,"",AC37)</f>
        <v>141</v>
      </c>
      <c r="M37" s="352">
        <f>IF(AD37="","",AD37)</f>
        <v>0.5</v>
      </c>
      <c r="N37" s="14">
        <f t="shared" ref="N37:N50" si="30">IF(AE37=0,"",AE37)</f>
        <v>904</v>
      </c>
      <c r="O37" s="352">
        <f>IF(AF37="","",AF37)</f>
        <v>3.5</v>
      </c>
      <c r="R37" s="355" t="s">
        <v>0</v>
      </c>
      <c r="S37" s="68" t="str">
        <f>IF(T37=0,"",VLOOKUP(T37,Starter!$A$1:$D$196,2,FALSE))</f>
        <v>Voss, Horst</v>
      </c>
      <c r="T37" s="175">
        <v>7282</v>
      </c>
      <c r="U37" s="183">
        <v>181</v>
      </c>
      <c r="V37" s="95">
        <f>IF(SUM(U37:U39)+U55=0,0,IF(ABS(SUM(U37:U39))=U55,0.5,IF(ABS(SUM(U37:U39))&gt;U55,1,0)))</f>
        <v>1</v>
      </c>
      <c r="W37" s="183">
        <v>225</v>
      </c>
      <c r="X37" s="95">
        <f>IF(SUM(W37:W39)+W55=0,0,IF(ABS(SUM(W37:W39))=W55,0.5,IF(ABS(SUM(W37:W39))&gt;W55,1,0)))</f>
        <v>1</v>
      </c>
      <c r="Y37" s="183">
        <v>171</v>
      </c>
      <c r="Z37" s="95">
        <f>IF(SUM(Y37:Y39)+Y55=0,0,IF(ABS(SUM(Y37:Y39))=Y55,0.5,IF(ABS(SUM(Y37:Y39))&gt;Y55,1,0)))</f>
        <v>0</v>
      </c>
      <c r="AA37" s="189">
        <v>186</v>
      </c>
      <c r="AB37" s="95">
        <f>IF(SUM(AA37:AA39)+AA55=0,0,IF(ABS(SUM(AA37:AA39))=AA55,0.5,IF(ABS(SUM(AA37:AA39))&gt;AA55,1,0)))</f>
        <v>1</v>
      </c>
      <c r="AC37" s="183">
        <v>141</v>
      </c>
      <c r="AD37" s="95">
        <f>IF(SUM(AC37:AC39)+AC55=0,0,IF(ABS(SUM(AC37:AC39))=AC55,0.5,IF(ABS(SUM(AC37:AC39))&gt;AC55,1,0)))</f>
        <v>0.5</v>
      </c>
      <c r="AE37" s="195">
        <f t="shared" ref="AE37:AE48" si="31">ABS(SUM(U37:U37))+ABS(SUM(W37:W37))+ABS(SUM(Y37:Y37))+ABS(SUM(AA37:AA37))+ABS(SUM(AC37:AC37))</f>
        <v>904</v>
      </c>
      <c r="AF37" s="180">
        <f>SUM(V37+X37+Z37+AB37+AD37)</f>
        <v>3.5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7282</v>
      </c>
      <c r="BE37" s="213">
        <f t="shared" ref="BE37:BE48" si="33">AE37</f>
        <v>904</v>
      </c>
      <c r="BF37" s="215">
        <f t="shared" ref="BF37:BF48" si="34">COUNT(BH37:BL37)</f>
        <v>5</v>
      </c>
      <c r="BG37" s="215">
        <f t="shared" ref="BG37:BG48" si="35">COUNTIF(BH37:BL37,"&gt;0")</f>
        <v>5</v>
      </c>
      <c r="BH37" s="215">
        <f t="shared" ref="BH37:BH48" si="36">IF(U37=0,"",U37)</f>
        <v>181</v>
      </c>
      <c r="BI37" s="215">
        <f t="shared" ref="BI37:BI48" si="37">IF(W37=0,"",W37)</f>
        <v>225</v>
      </c>
      <c r="BJ37" s="215">
        <f t="shared" ref="BJ37:BJ48" si="38">IF(Y37=0,"",Y37)</f>
        <v>171</v>
      </c>
      <c r="BK37" s="215">
        <f t="shared" ref="BK37:BK48" si="39">IF(AA37=0,"",AA37)</f>
        <v>186</v>
      </c>
      <c r="BL37" s="215">
        <f t="shared" ref="BL37:BL48" si="40">IF(AC37=0,"",AC37)</f>
        <v>141</v>
      </c>
      <c r="BM37" s="216"/>
      <c r="BN37" s="214"/>
      <c r="BO37" s="215">
        <f t="shared" ref="BO37:BO48" si="41">MAX(BH37:BL37)</f>
        <v>225</v>
      </c>
      <c r="BP37" s="215">
        <f t="shared" ref="BP37:BP48" si="42">IF(BO37&lt;MAX(BO:BO),0,BO37+ROW()/1000000000)</f>
        <v>0</v>
      </c>
      <c r="BQ37" s="215" t="str">
        <f>+S33</f>
        <v>Herzogenaurach 1</v>
      </c>
      <c r="BR37" s="214">
        <f t="shared" ref="BR37:BR48" si="43">RANK(BP37,BP:BP)</f>
        <v>2</v>
      </c>
      <c r="BS37" s="215">
        <f t="shared" ref="BS37:BS48" si="44">SUMIF(BH37:BL37,"&gt;0")</f>
        <v>904</v>
      </c>
      <c r="BT37" s="215">
        <f>IF(COUNTIF(BH37:BL37,"&gt;0")&lt;Spielorte!$A$23,0,BE37/Spielorte!$A$23)</f>
        <v>180.8</v>
      </c>
      <c r="BU37" s="215">
        <f t="shared" ref="BU37:BU48" si="45">IF(BT37&lt;MAX(BT:BT),0,BT37+ROW()/1000000000)</f>
        <v>0</v>
      </c>
      <c r="BV37" s="214">
        <f t="shared" ref="BV37:BV48" si="46">IF(BU37=0,0,RANK(BU37,BU:BU))</f>
        <v>0</v>
      </c>
    </row>
    <row r="38" spans="1:74" ht="17.100000000000001" customHeight="1" x14ac:dyDescent="0.2">
      <c r="A38" s="374"/>
      <c r="B38" s="19" t="str">
        <f t="shared" ref="B38:D50" si="47">IF(S38=0,"",S38)</f>
        <v/>
      </c>
      <c r="C38" s="20" t="str">
        <f t="shared" si="47"/>
        <v/>
      </c>
      <c r="D38" s="15" t="str">
        <f t="shared" si="47"/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 t="str">
        <f t="shared" si="28"/>
        <v/>
      </c>
      <c r="K38" s="353"/>
      <c r="L38" s="15" t="str">
        <f t="shared" si="29"/>
        <v/>
      </c>
      <c r="M38" s="353"/>
      <c r="N38" s="15" t="str">
        <f t="shared" si="30"/>
        <v/>
      </c>
      <c r="O38" s="353"/>
      <c r="R38" s="356"/>
      <c r="S38" s="68" t="str">
        <f>IF(T38=0,"",VLOOKUP(T38,Starter!$A$1:$D$196,2,FALSE))</f>
        <v/>
      </c>
      <c r="T38" s="176"/>
      <c r="U38" s="184"/>
      <c r="V38" s="96"/>
      <c r="W38" s="184"/>
      <c r="X38" s="96"/>
      <c r="Y38" s="184"/>
      <c r="Z38" s="96"/>
      <c r="AA38" s="184"/>
      <c r="AB38" s="96"/>
      <c r="AC38" s="184"/>
      <c r="AD38" s="96"/>
      <c r="AE38" s="196">
        <f t="shared" si="31"/>
        <v>0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0</v>
      </c>
      <c r="BE38" s="213">
        <f t="shared" si="33"/>
        <v>0</v>
      </c>
      <c r="BF38" s="215">
        <f t="shared" si="34"/>
        <v>0</v>
      </c>
      <c r="BG38" s="215">
        <f t="shared" si="35"/>
        <v>0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 t="str">
        <f t="shared" si="39"/>
        <v/>
      </c>
      <c r="BL38" s="215" t="str">
        <f t="shared" si="40"/>
        <v/>
      </c>
      <c r="BM38" s="216"/>
      <c r="BN38" s="214"/>
      <c r="BO38" s="215">
        <f t="shared" si="41"/>
        <v>0</v>
      </c>
      <c r="BP38" s="215">
        <f t="shared" si="42"/>
        <v>0</v>
      </c>
      <c r="BQ38" s="215" t="str">
        <f t="shared" ref="BQ38:BQ48" si="48">+BQ37</f>
        <v>Herzogenaurach 1</v>
      </c>
      <c r="BR38" s="214">
        <f t="shared" si="43"/>
        <v>2</v>
      </c>
      <c r="BS38" s="215">
        <f t="shared" si="44"/>
        <v>0</v>
      </c>
      <c r="BT38" s="215">
        <f>IF(COUNTIF(BH38:BL38,"&gt;0")&lt;Spielorte!$A$23,0,BE38/Spielorte!$A$23)</f>
        <v>0</v>
      </c>
      <c r="BU38" s="215">
        <f t="shared" si="45"/>
        <v>0</v>
      </c>
      <c r="BV38" s="214">
        <f t="shared" si="46"/>
        <v>0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7"/>
        <v/>
      </c>
      <c r="D39" s="9" t="str">
        <f t="shared" si="47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0</v>
      </c>
      <c r="BQ39" s="215" t="str">
        <f t="shared" si="48"/>
        <v>Herzogenaurach 1</v>
      </c>
      <c r="BR39" s="214">
        <f t="shared" si="43"/>
        <v>2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0</v>
      </c>
      <c r="BV39" s="214">
        <f t="shared" si="46"/>
        <v>0</v>
      </c>
    </row>
    <row r="40" spans="1:74" ht="17.100000000000001" customHeight="1" x14ac:dyDescent="0.2">
      <c r="A40" s="373" t="s">
        <v>2</v>
      </c>
      <c r="B40" s="17" t="str">
        <f t="shared" si="47"/>
        <v>Inkermann, Matthias</v>
      </c>
      <c r="C40" s="18">
        <f t="shared" si="47"/>
        <v>25760</v>
      </c>
      <c r="D40" s="14">
        <f t="shared" si="47"/>
        <v>214</v>
      </c>
      <c r="E40" s="352">
        <f>IF(V40="","",V40)</f>
        <v>1</v>
      </c>
      <c r="F40" s="14">
        <f t="shared" si="26"/>
        <v>191</v>
      </c>
      <c r="G40" s="352">
        <f>IF(X40="","",X40)</f>
        <v>1</v>
      </c>
      <c r="H40" s="14">
        <f t="shared" si="27"/>
        <v>178</v>
      </c>
      <c r="I40" s="352">
        <f>IF(Z40="","",Z40)</f>
        <v>0</v>
      </c>
      <c r="J40" s="14">
        <f t="shared" si="28"/>
        <v>177</v>
      </c>
      <c r="K40" s="352">
        <f>IF(AB40="","",AB40)</f>
        <v>0</v>
      </c>
      <c r="L40" s="14">
        <f t="shared" si="29"/>
        <v>178</v>
      </c>
      <c r="M40" s="352">
        <f>IF(AD40="","",AD40)</f>
        <v>1</v>
      </c>
      <c r="N40" s="14">
        <f t="shared" si="30"/>
        <v>938</v>
      </c>
      <c r="O40" s="352">
        <f>IF(AF40="","",AF40)</f>
        <v>3</v>
      </c>
      <c r="R40" s="355" t="s">
        <v>2</v>
      </c>
      <c r="S40" s="68" t="str">
        <f>IF(T40=0,"",VLOOKUP(T40,Starter!$A$1:$D$196,2,FALSE))</f>
        <v>Inkermann, Matthias</v>
      </c>
      <c r="T40" s="178">
        <v>25760</v>
      </c>
      <c r="U40" s="186">
        <v>214</v>
      </c>
      <c r="V40" s="95">
        <f>IF(SUM(U40:U42)+U56=0,0,IF(ABS(SUM(U40:U42))=U56,0.5,IF(ABS(SUM(U40:U42))&gt;U56,1,0)))</f>
        <v>1</v>
      </c>
      <c r="W40" s="186">
        <v>191</v>
      </c>
      <c r="X40" s="95">
        <f>IF(SUM(W40:W42)+W56=0,0,IF(ABS(SUM(W40:W42))=W56,0.5,IF(ABS(SUM(W40:W42))&gt;W56,1,0)))</f>
        <v>1</v>
      </c>
      <c r="Y40" s="186">
        <v>178</v>
      </c>
      <c r="Z40" s="95">
        <f>IF(SUM(Y40:Y42)+Y56=0,0,IF(ABS(SUM(Y40:Y42))=Y56,0.5,IF(ABS(SUM(Y40:Y42))&gt;Y56,1,0)))</f>
        <v>0</v>
      </c>
      <c r="AA40" s="186">
        <v>177</v>
      </c>
      <c r="AB40" s="95">
        <f>IF(SUM(AA40:AA42)+AA56=0,0,IF(ABS(SUM(AA40:AA42))=AA56,0.5,IF(ABS(SUM(AA40:AA42))&gt;AA56,1,0)))</f>
        <v>0</v>
      </c>
      <c r="AC40" s="186">
        <v>178</v>
      </c>
      <c r="AD40" s="95">
        <f>IF(SUM(AC40:AC42)+AC56=0,0,IF(ABS(SUM(AC40:AC42))=AC56,0.5,IF(ABS(SUM(AC40:AC42))&gt;AC56,1,0)))</f>
        <v>1</v>
      </c>
      <c r="AE40" s="195">
        <f t="shared" si="31"/>
        <v>938</v>
      </c>
      <c r="AF40" s="180">
        <f>SUM(V40+X40+Z40+AB40+AD40)</f>
        <v>3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25760</v>
      </c>
      <c r="BE40" s="213">
        <f t="shared" si="33"/>
        <v>938</v>
      </c>
      <c r="BF40" s="215">
        <f t="shared" si="34"/>
        <v>5</v>
      </c>
      <c r="BG40" s="215">
        <f t="shared" si="35"/>
        <v>5</v>
      </c>
      <c r="BH40" s="215">
        <f t="shared" si="36"/>
        <v>214</v>
      </c>
      <c r="BI40" s="215">
        <f t="shared" si="37"/>
        <v>191</v>
      </c>
      <c r="BJ40" s="215">
        <f t="shared" si="38"/>
        <v>178</v>
      </c>
      <c r="BK40" s="215">
        <f t="shared" si="39"/>
        <v>177</v>
      </c>
      <c r="BL40" s="215">
        <f t="shared" si="40"/>
        <v>178</v>
      </c>
      <c r="BM40" s="216"/>
      <c r="BN40" s="214"/>
      <c r="BO40" s="215">
        <f t="shared" si="41"/>
        <v>214</v>
      </c>
      <c r="BP40" s="215">
        <f t="shared" si="42"/>
        <v>0</v>
      </c>
      <c r="BQ40" s="215" t="str">
        <f t="shared" si="48"/>
        <v>Herzogenaurach 1</v>
      </c>
      <c r="BR40" s="214">
        <f t="shared" si="43"/>
        <v>2</v>
      </c>
      <c r="BS40" s="215">
        <f t="shared" si="44"/>
        <v>938</v>
      </c>
      <c r="BT40" s="215">
        <f>IF(COUNTIF(BH40:BL40,"&gt;0")&lt;Spielorte!$A$23,0,BE40/Spielorte!$A$23)</f>
        <v>187.6</v>
      </c>
      <c r="BU40" s="215">
        <f t="shared" si="45"/>
        <v>0</v>
      </c>
      <c r="BV40" s="214">
        <f t="shared" si="46"/>
        <v>0</v>
      </c>
    </row>
    <row r="41" spans="1:74" ht="17.100000000000001" customHeight="1" x14ac:dyDescent="0.2">
      <c r="A41" s="374"/>
      <c r="B41" s="19" t="str">
        <f t="shared" si="47"/>
        <v/>
      </c>
      <c r="C41" s="20" t="str">
        <f t="shared" si="47"/>
        <v/>
      </c>
      <c r="D41" s="15" t="str">
        <f t="shared" si="47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 t="str">
        <f t="shared" si="28"/>
        <v/>
      </c>
      <c r="K41" s="353"/>
      <c r="L41" s="15" t="str">
        <f t="shared" si="29"/>
        <v/>
      </c>
      <c r="M41" s="353"/>
      <c r="N41" s="15" t="str">
        <f t="shared" si="30"/>
        <v/>
      </c>
      <c r="O41" s="353"/>
      <c r="R41" s="356"/>
      <c r="S41" s="68" t="str">
        <f>IF(T41=0,"",VLOOKUP(T41,Starter!$A$1:$D$196,2,FALSE))</f>
        <v/>
      </c>
      <c r="T41" s="176"/>
      <c r="U41" s="184"/>
      <c r="V41" s="96"/>
      <c r="W41" s="184"/>
      <c r="X41" s="96"/>
      <c r="Y41" s="184"/>
      <c r="Z41" s="96"/>
      <c r="AA41" s="184"/>
      <c r="AB41" s="96"/>
      <c r="AC41" s="184"/>
      <c r="AD41" s="96"/>
      <c r="AE41" s="196">
        <f t="shared" si="31"/>
        <v>0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0</v>
      </c>
      <c r="BE41" s="213">
        <f t="shared" si="33"/>
        <v>0</v>
      </c>
      <c r="BF41" s="215">
        <f t="shared" si="34"/>
        <v>0</v>
      </c>
      <c r="BG41" s="215">
        <f t="shared" si="35"/>
        <v>0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 t="str">
        <f t="shared" si="39"/>
        <v/>
      </c>
      <c r="BL41" s="215" t="str">
        <f t="shared" si="40"/>
        <v/>
      </c>
      <c r="BM41" s="216"/>
      <c r="BN41" s="214"/>
      <c r="BO41" s="215">
        <f t="shared" si="41"/>
        <v>0</v>
      </c>
      <c r="BP41" s="215">
        <f t="shared" si="42"/>
        <v>0</v>
      </c>
      <c r="BQ41" s="215" t="str">
        <f t="shared" si="48"/>
        <v>Herzogenaurach 1</v>
      </c>
      <c r="BR41" s="214">
        <f t="shared" si="43"/>
        <v>2</v>
      </c>
      <c r="BS41" s="215">
        <f t="shared" si="44"/>
        <v>0</v>
      </c>
      <c r="BT41" s="215">
        <f>IF(COUNTIF(BH41:BL41,"&gt;0")&lt;Spielorte!$A$23,0,BE41/Spielorte!$A$23)</f>
        <v>0</v>
      </c>
      <c r="BU41" s="215">
        <f t="shared" si="45"/>
        <v>0</v>
      </c>
      <c r="BV41" s="214">
        <f t="shared" si="46"/>
        <v>0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7"/>
        <v/>
      </c>
      <c r="D42" s="9" t="str">
        <f t="shared" si="47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0</v>
      </c>
      <c r="BQ42" s="215" t="str">
        <f t="shared" si="48"/>
        <v>Herzogenaurach 1</v>
      </c>
      <c r="BR42" s="214">
        <f t="shared" si="43"/>
        <v>2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0</v>
      </c>
      <c r="BV42" s="214">
        <f t="shared" si="46"/>
        <v>0</v>
      </c>
    </row>
    <row r="43" spans="1:74" ht="17.100000000000001" customHeight="1" x14ac:dyDescent="0.2">
      <c r="A43" s="373" t="s">
        <v>3</v>
      </c>
      <c r="B43" s="17" t="str">
        <f t="shared" si="47"/>
        <v>Meier, Peter</v>
      </c>
      <c r="C43" s="18">
        <f t="shared" si="47"/>
        <v>7286</v>
      </c>
      <c r="D43" s="14">
        <f t="shared" si="47"/>
        <v>178</v>
      </c>
      <c r="E43" s="352">
        <f>IF(V43="","",V43)</f>
        <v>0</v>
      </c>
      <c r="F43" s="14">
        <f t="shared" si="26"/>
        <v>173</v>
      </c>
      <c r="G43" s="352">
        <f>IF(X43="","",X43)</f>
        <v>0</v>
      </c>
      <c r="H43" s="14">
        <f t="shared" si="27"/>
        <v>172</v>
      </c>
      <c r="I43" s="352">
        <f>IF(Z43="","",Z43)</f>
        <v>0</v>
      </c>
      <c r="J43" s="14" t="str">
        <f t="shared" si="28"/>
        <v/>
      </c>
      <c r="K43" s="352">
        <f>IF(AB43="","",AB43)</f>
        <v>1</v>
      </c>
      <c r="L43" s="14" t="str">
        <f t="shared" si="29"/>
        <v/>
      </c>
      <c r="M43" s="352">
        <f>IF(AD43="","",AD43)</f>
        <v>0</v>
      </c>
      <c r="N43" s="14">
        <f t="shared" si="30"/>
        <v>523</v>
      </c>
      <c r="O43" s="352">
        <f>IF(AF43="","",AF43)</f>
        <v>1</v>
      </c>
      <c r="R43" s="355" t="s">
        <v>3</v>
      </c>
      <c r="S43" s="68" t="str">
        <f>IF(T43=0,"",VLOOKUP(T43,Starter!$A$1:$D$196,2,FALSE))</f>
        <v>Meier, Peter</v>
      </c>
      <c r="T43" s="178">
        <v>7286</v>
      </c>
      <c r="U43" s="186">
        <v>178</v>
      </c>
      <c r="V43" s="95">
        <f>IF(SUM(U43:U45)+U57=0,0,IF(ABS(SUM(U43:U45))=U57,0.5,IF(ABS(SUM(U43:U45))&gt;U57,1,0)))</f>
        <v>0</v>
      </c>
      <c r="W43" s="186">
        <v>173</v>
      </c>
      <c r="X43" s="95">
        <f>IF(SUM(W43:W45)+W57=0,0,IF(ABS(SUM(W43:W45))=W57,0.5,IF(ABS(SUM(W43:W45))&gt;W57,1,0)))</f>
        <v>0</v>
      </c>
      <c r="Y43" s="186">
        <v>172</v>
      </c>
      <c r="Z43" s="95">
        <f>IF(SUM(Y43:Y45)+Y57=0,0,IF(ABS(SUM(Y43:Y45))=Y57,0.5,IF(ABS(SUM(Y43:Y45))&gt;Y57,1,0)))</f>
        <v>0</v>
      </c>
      <c r="AA43" s="186"/>
      <c r="AB43" s="95">
        <f>IF(SUM(AA43:AA45)+AA57=0,0,IF(ABS(SUM(AA43:AA45))=AA57,0.5,IF(ABS(SUM(AA43:AA45))&gt;AA57,1,0)))</f>
        <v>1</v>
      </c>
      <c r="AC43" s="186"/>
      <c r="AD43" s="95">
        <f>IF(SUM(AC43:AC45)+AC57=0,0,IF(ABS(SUM(AC43:AC45))=AC57,0.5,IF(ABS(SUM(AC43:AC45))&gt;AC57,1,0)))</f>
        <v>0</v>
      </c>
      <c r="AE43" s="195">
        <f t="shared" si="31"/>
        <v>523</v>
      </c>
      <c r="AF43" s="180">
        <f>SUM(V43+X43+Z43+AB43+AD43)</f>
        <v>1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7286</v>
      </c>
      <c r="BE43" s="213">
        <f t="shared" si="33"/>
        <v>523</v>
      </c>
      <c r="BF43" s="215">
        <f t="shared" si="34"/>
        <v>3</v>
      </c>
      <c r="BG43" s="215">
        <f t="shared" si="35"/>
        <v>3</v>
      </c>
      <c r="BH43" s="215">
        <f t="shared" si="36"/>
        <v>178</v>
      </c>
      <c r="BI43" s="215">
        <f t="shared" si="37"/>
        <v>173</v>
      </c>
      <c r="BJ43" s="215">
        <f t="shared" si="38"/>
        <v>172</v>
      </c>
      <c r="BK43" s="215" t="str">
        <f t="shared" si="39"/>
        <v/>
      </c>
      <c r="BL43" s="215" t="str">
        <f t="shared" si="40"/>
        <v/>
      </c>
      <c r="BM43" s="216"/>
      <c r="BN43" s="214"/>
      <c r="BO43" s="215">
        <f t="shared" si="41"/>
        <v>178</v>
      </c>
      <c r="BP43" s="215">
        <f t="shared" si="42"/>
        <v>0</v>
      </c>
      <c r="BQ43" s="215" t="str">
        <f t="shared" si="48"/>
        <v>Herzogenaurach 1</v>
      </c>
      <c r="BR43" s="214">
        <f t="shared" si="43"/>
        <v>2</v>
      </c>
      <c r="BS43" s="215">
        <f t="shared" si="44"/>
        <v>523</v>
      </c>
      <c r="BT43" s="215">
        <f>IF(COUNTIF(BH43:BL43,"&gt;0")&lt;Spielorte!$A$23,0,BE43/Spielorte!$A$23)</f>
        <v>0</v>
      </c>
      <c r="BU43" s="215">
        <f t="shared" si="45"/>
        <v>0</v>
      </c>
      <c r="BV43" s="214">
        <f t="shared" si="46"/>
        <v>0</v>
      </c>
    </row>
    <row r="44" spans="1:74" ht="17.100000000000001" customHeight="1" x14ac:dyDescent="0.2">
      <c r="A44" s="374"/>
      <c r="B44" s="19" t="str">
        <f t="shared" si="47"/>
        <v>Arnold, Nadine</v>
      </c>
      <c r="C44" s="20">
        <f t="shared" si="47"/>
        <v>25378</v>
      </c>
      <c r="D44" s="15" t="str">
        <f t="shared" si="47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>
        <f t="shared" si="28"/>
        <v>180</v>
      </c>
      <c r="K44" s="353"/>
      <c r="L44" s="15">
        <f t="shared" si="29"/>
        <v>180</v>
      </c>
      <c r="M44" s="353"/>
      <c r="N44" s="15">
        <f t="shared" si="30"/>
        <v>360</v>
      </c>
      <c r="O44" s="353"/>
      <c r="R44" s="356"/>
      <c r="S44" s="68" t="str">
        <f>IF(T44=0,"",VLOOKUP(T44,Starter!$A$1:$D$196,2,FALSE))</f>
        <v>Arnold, Nadine</v>
      </c>
      <c r="T44" s="176">
        <v>25378</v>
      </c>
      <c r="U44" s="184"/>
      <c r="V44" s="96"/>
      <c r="W44" s="184"/>
      <c r="X44" s="96"/>
      <c r="Y44" s="184"/>
      <c r="Z44" s="96"/>
      <c r="AA44" s="184">
        <v>180</v>
      </c>
      <c r="AB44" s="96"/>
      <c r="AC44" s="184">
        <v>180</v>
      </c>
      <c r="AD44" s="96"/>
      <c r="AE44" s="196">
        <f t="shared" si="31"/>
        <v>360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25378</v>
      </c>
      <c r="BE44" s="213">
        <f t="shared" si="33"/>
        <v>360</v>
      </c>
      <c r="BF44" s="215">
        <f t="shared" si="34"/>
        <v>2</v>
      </c>
      <c r="BG44" s="215">
        <f t="shared" si="35"/>
        <v>2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>
        <f t="shared" si="39"/>
        <v>180</v>
      </c>
      <c r="BL44" s="215">
        <f t="shared" si="40"/>
        <v>180</v>
      </c>
      <c r="BM44" s="216"/>
      <c r="BN44" s="214"/>
      <c r="BO44" s="215">
        <f t="shared" si="41"/>
        <v>180</v>
      </c>
      <c r="BP44" s="215">
        <f t="shared" si="42"/>
        <v>0</v>
      </c>
      <c r="BQ44" s="215" t="str">
        <f t="shared" si="48"/>
        <v>Herzogenaurach 1</v>
      </c>
      <c r="BR44" s="214">
        <f t="shared" si="43"/>
        <v>2</v>
      </c>
      <c r="BS44" s="215">
        <f t="shared" si="44"/>
        <v>360</v>
      </c>
      <c r="BT44" s="215">
        <f>IF(COUNTIF(BH44:BL44,"&gt;0")&lt;Spielorte!$A$23,0,BE44/Spielorte!$A$23)</f>
        <v>0</v>
      </c>
      <c r="BU44" s="215">
        <f t="shared" si="45"/>
        <v>0</v>
      </c>
      <c r="BV44" s="214">
        <f t="shared" si="46"/>
        <v>0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7"/>
        <v/>
      </c>
      <c r="D45" s="9" t="str">
        <f t="shared" si="47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0</v>
      </c>
      <c r="BQ45" s="215" t="str">
        <f t="shared" si="48"/>
        <v>Herzogenaurach 1</v>
      </c>
      <c r="BR45" s="214">
        <f t="shared" si="43"/>
        <v>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0</v>
      </c>
      <c r="BV45" s="214">
        <f t="shared" si="46"/>
        <v>0</v>
      </c>
    </row>
    <row r="46" spans="1:74" ht="17.100000000000001" customHeight="1" x14ac:dyDescent="0.2">
      <c r="A46" s="373" t="s">
        <v>11</v>
      </c>
      <c r="B46" s="17" t="str">
        <f>IF(S46=0,"",S46)</f>
        <v>Pichl, Jürgen</v>
      </c>
      <c r="C46" s="18">
        <f t="shared" si="47"/>
        <v>7283</v>
      </c>
      <c r="D46" s="14">
        <f t="shared" si="47"/>
        <v>247</v>
      </c>
      <c r="E46" s="352">
        <f>IF(V46="","",V46)</f>
        <v>1</v>
      </c>
      <c r="F46" s="14">
        <f t="shared" si="26"/>
        <v>162</v>
      </c>
      <c r="G46" s="352">
        <f>IF(X46="","",X46)</f>
        <v>1</v>
      </c>
      <c r="H46" s="14">
        <f t="shared" si="27"/>
        <v>235</v>
      </c>
      <c r="I46" s="352">
        <f>IF(Z46="","",Z46)</f>
        <v>1</v>
      </c>
      <c r="J46" s="14">
        <f t="shared" si="28"/>
        <v>211</v>
      </c>
      <c r="K46" s="352">
        <f>IF(AB46="","",AB46)</f>
        <v>1</v>
      </c>
      <c r="L46" s="14">
        <f t="shared" si="29"/>
        <v>187</v>
      </c>
      <c r="M46" s="352">
        <f>IF(AD46="","",AD46)</f>
        <v>1</v>
      </c>
      <c r="N46" s="14">
        <f t="shared" si="30"/>
        <v>1042</v>
      </c>
      <c r="O46" s="352">
        <f>IF(AF46="","",AF46)</f>
        <v>5</v>
      </c>
      <c r="R46" s="355" t="s">
        <v>11</v>
      </c>
      <c r="S46" s="68" t="str">
        <f>IF(T46=0,"",VLOOKUP(T46,Starter!$A$1:$D$196,2,FALSE))</f>
        <v>Pichl, Jürgen</v>
      </c>
      <c r="T46" s="178">
        <v>7283</v>
      </c>
      <c r="U46" s="186">
        <v>247</v>
      </c>
      <c r="V46" s="95">
        <f>IF(SUM(U46:U48)+U58=0,0,IF(ABS(SUM(U46:U48))=U58,0.5,IF(ABS(SUM(U46:U48))&gt;U58,1,0)))</f>
        <v>1</v>
      </c>
      <c r="W46" s="186">
        <v>162</v>
      </c>
      <c r="X46" s="95">
        <f>IF(SUM(W46:W48)+W58=0,0,IF(ABS(SUM(W46:W48))=W58,0.5,IF(ABS(SUM(W46:W48))&gt;W58,1,0)))</f>
        <v>1</v>
      </c>
      <c r="Y46" s="186">
        <v>235</v>
      </c>
      <c r="Z46" s="95">
        <f>IF(SUM(Y46:Y48)+Y58=0,0,IF(ABS(SUM(Y46:Y48))=Y58,0.5,IF(ABS(SUM(Y46:Y48))&gt;Y58,1,0)))</f>
        <v>1</v>
      </c>
      <c r="AA46" s="186">
        <v>211</v>
      </c>
      <c r="AB46" s="95">
        <f>IF(SUM(AA46:AA48)+AA58=0,0,IF(ABS(SUM(AA46:AA48))=AA58,0.5,IF(ABS(SUM(AA46:AA48))&gt;AA58,1,0)))</f>
        <v>1</v>
      </c>
      <c r="AC46" s="186">
        <v>187</v>
      </c>
      <c r="AD46" s="95">
        <f>IF(SUM(AC46:AC48)+AC58=0,0,IF(ABS(SUM(AC46:AC48))=AC58,0.5,IF(ABS(SUM(AC46:AC48))&gt;AC58,1,0)))</f>
        <v>1</v>
      </c>
      <c r="AE46" s="195">
        <f t="shared" si="31"/>
        <v>1042</v>
      </c>
      <c r="AF46" s="180">
        <f>SUM(V46+X46+Z46+AB46+AD46)</f>
        <v>5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7283</v>
      </c>
      <c r="BE46" s="213">
        <f t="shared" si="33"/>
        <v>1042</v>
      </c>
      <c r="BF46" s="215">
        <f t="shared" si="34"/>
        <v>5</v>
      </c>
      <c r="BG46" s="215">
        <f t="shared" si="35"/>
        <v>5</v>
      </c>
      <c r="BH46" s="215">
        <f t="shared" si="36"/>
        <v>247</v>
      </c>
      <c r="BI46" s="215">
        <f t="shared" si="37"/>
        <v>162</v>
      </c>
      <c r="BJ46" s="215">
        <f t="shared" si="38"/>
        <v>235</v>
      </c>
      <c r="BK46" s="215">
        <f t="shared" si="39"/>
        <v>211</v>
      </c>
      <c r="BL46" s="215">
        <f t="shared" si="40"/>
        <v>187</v>
      </c>
      <c r="BM46" s="216"/>
      <c r="BN46" s="214"/>
      <c r="BO46" s="215">
        <f t="shared" si="41"/>
        <v>247</v>
      </c>
      <c r="BP46" s="215">
        <f t="shared" si="42"/>
        <v>247.000000046</v>
      </c>
      <c r="BQ46" s="215" t="str">
        <f t="shared" si="48"/>
        <v>Herzogenaurach 1</v>
      </c>
      <c r="BR46" s="214">
        <f t="shared" si="43"/>
        <v>1</v>
      </c>
      <c r="BS46" s="215">
        <f t="shared" si="44"/>
        <v>1042</v>
      </c>
      <c r="BT46" s="215">
        <f>IF(COUNTIF(BH46:BL46,"&gt;0")&lt;Spielorte!$A$23,0,BE46/Spielorte!$A$23)</f>
        <v>208.4</v>
      </c>
      <c r="BU46" s="215">
        <f t="shared" si="45"/>
        <v>208.400000046</v>
      </c>
      <c r="BV46" s="214">
        <f t="shared" si="46"/>
        <v>1</v>
      </c>
    </row>
    <row r="47" spans="1:74" ht="17.100000000000001" customHeight="1" x14ac:dyDescent="0.2">
      <c r="A47" s="374"/>
      <c r="B47" s="19" t="str">
        <f>IF(S47=0,"",S47)</f>
        <v/>
      </c>
      <c r="C47" s="20" t="str">
        <f t="shared" si="47"/>
        <v/>
      </c>
      <c r="D47" s="15" t="str">
        <f t="shared" si="47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 t="str">
        <f t="shared" si="28"/>
        <v/>
      </c>
      <c r="K47" s="353"/>
      <c r="L47" s="15" t="str">
        <f t="shared" si="29"/>
        <v/>
      </c>
      <c r="M47" s="353"/>
      <c r="N47" s="15" t="str">
        <f t="shared" si="30"/>
        <v/>
      </c>
      <c r="O47" s="353"/>
      <c r="R47" s="356"/>
      <c r="S47" s="68" t="str">
        <f>IF(T47=0,"",VLOOKUP(T47,Starter!$A$1:$D$196,2,FALSE))</f>
        <v/>
      </c>
      <c r="T47" s="176"/>
      <c r="U47" s="184"/>
      <c r="V47" s="96"/>
      <c r="W47" s="184"/>
      <c r="X47" s="96"/>
      <c r="Y47" s="184"/>
      <c r="Z47" s="96"/>
      <c r="AA47" s="184"/>
      <c r="AB47" s="96"/>
      <c r="AC47" s="184"/>
      <c r="AD47" s="96"/>
      <c r="AE47" s="196">
        <f t="shared" si="31"/>
        <v>0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0</v>
      </c>
      <c r="BE47" s="213">
        <f t="shared" si="33"/>
        <v>0</v>
      </c>
      <c r="BF47" s="215">
        <f t="shared" si="34"/>
        <v>0</v>
      </c>
      <c r="BG47" s="215">
        <f t="shared" si="35"/>
        <v>0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 t="str">
        <f t="shared" si="39"/>
        <v/>
      </c>
      <c r="BL47" s="215" t="str">
        <f t="shared" si="40"/>
        <v/>
      </c>
      <c r="BM47" s="216"/>
      <c r="BN47" s="214"/>
      <c r="BO47" s="215">
        <f t="shared" si="41"/>
        <v>0</v>
      </c>
      <c r="BP47" s="215">
        <f t="shared" si="42"/>
        <v>0</v>
      </c>
      <c r="BQ47" s="215" t="str">
        <f t="shared" si="48"/>
        <v>Herzogenaurach 1</v>
      </c>
      <c r="BR47" s="214">
        <f t="shared" si="43"/>
        <v>2</v>
      </c>
      <c r="BS47" s="215">
        <f t="shared" si="44"/>
        <v>0</v>
      </c>
      <c r="BT47" s="215">
        <f>IF(COUNTIF(BH47:BL47,"&gt;0")&lt;Spielorte!$A$23,0,BE47/Spielorte!$A$23)</f>
        <v>0</v>
      </c>
      <c r="BU47" s="215">
        <f t="shared" si="45"/>
        <v>0</v>
      </c>
      <c r="BV47" s="214">
        <f t="shared" si="46"/>
        <v>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7"/>
        <v/>
      </c>
      <c r="D48" s="9" t="str">
        <f t="shared" si="47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0</v>
      </c>
      <c r="BQ48" s="215" t="str">
        <f t="shared" si="48"/>
        <v>Herzogenaurach 1</v>
      </c>
      <c r="BR48" s="214">
        <f t="shared" si="43"/>
        <v>2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0</v>
      </c>
      <c r="BV48" s="214">
        <f t="shared" si="46"/>
        <v>0</v>
      </c>
    </row>
    <row r="49" spans="1:74" ht="27.75" customHeight="1" thickBot="1" x14ac:dyDescent="0.25">
      <c r="B49" s="11" t="str">
        <f>IF(S49=0,"",S49)</f>
        <v>Gesamt</v>
      </c>
      <c r="C49" s="26" t="str">
        <f t="shared" si="47"/>
        <v/>
      </c>
      <c r="D49" s="16">
        <f t="shared" si="47"/>
        <v>820</v>
      </c>
      <c r="E49" s="12">
        <f>IF(V49="","",V49)</f>
        <v>2</v>
      </c>
      <c r="F49" s="16">
        <f t="shared" si="26"/>
        <v>751</v>
      </c>
      <c r="G49" s="12">
        <f>IF(X49="","",X49)</f>
        <v>2</v>
      </c>
      <c r="H49" s="16">
        <f t="shared" si="27"/>
        <v>756</v>
      </c>
      <c r="I49" s="12">
        <f>IF(Z49="","",Z49)</f>
        <v>0</v>
      </c>
      <c r="J49" s="16">
        <f t="shared" si="28"/>
        <v>754</v>
      </c>
      <c r="K49" s="12">
        <f>IF(AB49="","",AB49)</f>
        <v>2</v>
      </c>
      <c r="L49" s="16">
        <f t="shared" si="29"/>
        <v>686</v>
      </c>
      <c r="M49" s="12">
        <f>IF(AD49="","",AD49)</f>
        <v>2</v>
      </c>
      <c r="N49" s="16">
        <f t="shared" si="30"/>
        <v>3767</v>
      </c>
      <c r="O49" s="12">
        <f>IF(AF49="","",AF49)</f>
        <v>8</v>
      </c>
      <c r="S49" s="11" t="s">
        <v>1791</v>
      </c>
      <c r="T49" s="71"/>
      <c r="U49" s="188">
        <f>ABS(SUM(U37:U39))+ABS(SUM(U40:U42))+ABS(SUM(U43:U45))+ABS(SUM(U46:U48))</f>
        <v>820</v>
      </c>
      <c r="V49" s="98">
        <f>IF(U49+U59=0,0,IF(U49=U59,1,IF(U49&gt;U59,2,0)))</f>
        <v>2</v>
      </c>
      <c r="W49" s="188">
        <f>ABS(SUM(W37:W39))+ABS(SUM(W40:W42))+ABS(SUM(W43:W45))+ABS(SUM(W46:W48))</f>
        <v>751</v>
      </c>
      <c r="X49" s="98">
        <f>IF(W49+W59=0,0,IF(W49=W59,1,IF(W49&gt;W59,2,0)))</f>
        <v>2</v>
      </c>
      <c r="Y49" s="188">
        <f>ABS(SUM(Y37:Y39))+ABS(SUM(Y40:Y42))+ABS(SUM(Y43:Y45))+ABS(SUM(Y46:Y48))</f>
        <v>756</v>
      </c>
      <c r="Z49" s="98">
        <f>IF(Y49+Y59=0,0,IF(Y49=Y59,1,IF(Y49&gt;Y59,2,0)))</f>
        <v>0</v>
      </c>
      <c r="AA49" s="188">
        <f>ABS(SUM(AA37:AA39))+ABS(SUM(AA40:AA42))+ABS(SUM(AA43:AA45))+ABS(SUM(AA46:AA48))</f>
        <v>754</v>
      </c>
      <c r="AB49" s="98">
        <f>IF(AA49+AA59=0,0,IF(AA49=AA59,1,IF(AA49&gt;AA59,2,0)))</f>
        <v>2</v>
      </c>
      <c r="AC49" s="188">
        <f>ABS(SUM(AC37:AC39))+ABS(SUM(AC40:AC42))+ABS(SUM(AC43:AC45))+ABS(SUM(AC46:AC48))</f>
        <v>686</v>
      </c>
      <c r="AD49" s="98">
        <f>IF(AC49+AC59=0,0,IF(AC49=AC59,1,IF(AC49&gt;AC59,2,0)))</f>
        <v>2</v>
      </c>
      <c r="AE49" s="198">
        <f>SUM(U49+W49+Y49+AA49+AC49)</f>
        <v>3767</v>
      </c>
      <c r="AF49" s="12">
        <f>SUM(V49+X49+Z49+AB49+AD49)</f>
        <v>8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7"/>
        <v/>
      </c>
      <c r="D50" s="1" t="str">
        <f t="shared" si="47"/>
        <v/>
      </c>
      <c r="E50" s="23">
        <f>IF(V50="","",V50)</f>
        <v>5</v>
      </c>
      <c r="F50" s="1" t="str">
        <f t="shared" si="26"/>
        <v/>
      </c>
      <c r="G50" s="23">
        <f>IF(X50="","",X50)</f>
        <v>5</v>
      </c>
      <c r="H50" s="1" t="str">
        <f t="shared" si="27"/>
        <v/>
      </c>
      <c r="I50" s="23">
        <f>IF(Z50="","",Z50)</f>
        <v>1</v>
      </c>
      <c r="J50" s="1" t="str">
        <f t="shared" si="28"/>
        <v/>
      </c>
      <c r="K50" s="23">
        <f>IF(AB50="","",AB50)</f>
        <v>5</v>
      </c>
      <c r="L50" s="1" t="str">
        <f t="shared" si="29"/>
        <v/>
      </c>
      <c r="M50" s="23">
        <f>IF(AD50="","",AD50)</f>
        <v>4.5</v>
      </c>
      <c r="N50" s="1" t="str">
        <f t="shared" si="30"/>
        <v/>
      </c>
      <c r="O50" s="23">
        <f>IF(AF50="","",AF50)</f>
        <v>20.5</v>
      </c>
      <c r="S50" s="8" t="s">
        <v>1802</v>
      </c>
      <c r="T50" s="1"/>
      <c r="U50" s="1"/>
      <c r="V50" s="72">
        <f>SUM(V37:V49)</f>
        <v>5</v>
      </c>
      <c r="W50" s="1"/>
      <c r="X50" s="72">
        <f>SUM(X37:X49)</f>
        <v>5</v>
      </c>
      <c r="Y50" s="1"/>
      <c r="Z50" s="72">
        <f>SUM(Z37:Z49)</f>
        <v>1</v>
      </c>
      <c r="AA50" s="1"/>
      <c r="AB50" s="72">
        <f>SUM(AB37:AB49)</f>
        <v>5</v>
      </c>
      <c r="AC50" s="1"/>
      <c r="AD50" s="72">
        <f>SUM(AD37:AD49)</f>
        <v>4.5</v>
      </c>
      <c r="AE50" s="1"/>
      <c r="AF50" s="72">
        <f>SUM(AF37:AF49)</f>
        <v>20.5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20.5</v>
      </c>
      <c r="BB50" s="213">
        <f>AE49</f>
        <v>3767</v>
      </c>
      <c r="BC50" s="214">
        <f>+S32</f>
        <v>2</v>
      </c>
      <c r="BF50" s="215">
        <f>SUM(BF31:BF49)</f>
        <v>20</v>
      </c>
      <c r="BM50" s="212">
        <f>+BB50/1000000+BA50</f>
        <v>20.503767</v>
      </c>
      <c r="BN50" s="214">
        <f>RANK(BM50,BM:BM)</f>
        <v>2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M52" si="49">IF(S52=0,"",S52)</f>
        <v>Gegner-Nr.:</v>
      </c>
      <c r="C52" s="5" t="str">
        <f t="shared" si="49"/>
        <v>&gt;&gt;&gt;&gt;</v>
      </c>
      <c r="D52" s="350">
        <f t="shared" si="49"/>
        <v>4</v>
      </c>
      <c r="E52" s="350" t="str">
        <f t="shared" si="49"/>
        <v/>
      </c>
      <c r="F52" s="350">
        <f t="shared" si="49"/>
        <v>6</v>
      </c>
      <c r="G52" s="350" t="str">
        <f t="shared" si="49"/>
        <v/>
      </c>
      <c r="H52" s="350">
        <f t="shared" si="49"/>
        <v>5</v>
      </c>
      <c r="I52" s="350" t="str">
        <f t="shared" si="49"/>
        <v/>
      </c>
      <c r="J52" s="350">
        <f t="shared" si="49"/>
        <v>3</v>
      </c>
      <c r="K52" s="350" t="str">
        <f t="shared" si="49"/>
        <v/>
      </c>
      <c r="L52" s="350">
        <f t="shared" si="49"/>
        <v>1</v>
      </c>
      <c r="M52" s="350" t="str">
        <f t="shared" si="49"/>
        <v/>
      </c>
      <c r="N52" s="351"/>
      <c r="O52" s="351"/>
      <c r="S52" s="13" t="s">
        <v>1789</v>
      </c>
      <c r="T52" s="5" t="s">
        <v>1790</v>
      </c>
      <c r="U52" s="369">
        <f>VLOOKUP($S32,Schlüssel!$A$5:$DG$10,83)</f>
        <v>4</v>
      </c>
      <c r="V52" s="370"/>
      <c r="W52" s="369">
        <f>VLOOKUP($S32,Schlüssel!$A$5:$EK$10,84)</f>
        <v>6</v>
      </c>
      <c r="X52" s="370"/>
      <c r="Y52" s="369">
        <f>VLOOKUP($S32,Schlüssel!$A$5:$EK$10,85)</f>
        <v>5</v>
      </c>
      <c r="Z52" s="370"/>
      <c r="AA52" s="369">
        <f>VLOOKUP($S32,Schlüssel!$A$5:$EK$10,86)</f>
        <v>3</v>
      </c>
      <c r="AB52" s="370"/>
      <c r="AC52" s="369">
        <f>VLOOKUP($S32,Schlüssel!$A$5:$EK$10,87)</f>
        <v>1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ref="B53:K54" si="50">IF(S53=0,"",S53)</f>
        <v/>
      </c>
      <c r="C53" s="1" t="str">
        <f t="shared" si="50"/>
        <v/>
      </c>
      <c r="D53" s="347" t="str">
        <f t="shared" si="50"/>
        <v>Kings Club Bayreuth Land 3</v>
      </c>
      <c r="E53" s="348" t="str">
        <f t="shared" si="50"/>
        <v/>
      </c>
      <c r="F53" s="347" t="str">
        <f t="shared" si="50"/>
        <v>Adler Nürnberg 1</v>
      </c>
      <c r="G53" s="348" t="str">
        <f t="shared" si="50"/>
        <v/>
      </c>
      <c r="H53" s="347" t="str">
        <f t="shared" si="50"/>
        <v>Castra Regina Regensburg 2</v>
      </c>
      <c r="I53" s="348" t="str">
        <f t="shared" si="50"/>
        <v/>
      </c>
      <c r="J53" s="347" t="str">
        <f t="shared" si="50"/>
        <v>Kings Club Bayreuth Land 2</v>
      </c>
      <c r="K53" s="348" t="str">
        <f t="shared" si="50"/>
        <v/>
      </c>
      <c r="L53" s="347" t="str">
        <f>IF(AC53=0,"",AC53)</f>
        <v>Castra Regina Regensburg 3</v>
      </c>
      <c r="M53" s="348" t="str">
        <f>IF(AD53=0,"",AD53)</f>
        <v/>
      </c>
      <c r="N53" s="349"/>
      <c r="O53" s="349"/>
      <c r="S53" s="4"/>
      <c r="T53" s="1"/>
      <c r="U53" s="347" t="str">
        <f>VLOOKUP(U52,Schlüssel!$A$5:$K$10,2)</f>
        <v>Kings Club Bayreuth Land 3</v>
      </c>
      <c r="V53" s="348"/>
      <c r="W53" s="347" t="str">
        <f>VLOOKUP(W52,Schlüssel!$A$5:$K$10,2)</f>
        <v>Adler Nürnberg 1</v>
      </c>
      <c r="X53" s="348"/>
      <c r="Y53" s="347" t="str">
        <f>VLOOKUP(Y52,Schlüssel!$A$5:$K$10,2)</f>
        <v>Castra Regina Regensburg 2</v>
      </c>
      <c r="Z53" s="348"/>
      <c r="AA53" s="347" t="str">
        <f>VLOOKUP(AA52,Schlüssel!$A$5:$K$10,2)</f>
        <v>Kings Club Bayreuth Land 2</v>
      </c>
      <c r="AB53" s="348"/>
      <c r="AC53" s="347" t="str">
        <f>VLOOKUP(AC52,Schlüssel!$A$5:$K$10,2)</f>
        <v>Castra Regina Regensburg 3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50"/>
        <v/>
      </c>
      <c r="C54" s="1" t="str">
        <f t="shared" si="50"/>
        <v/>
      </c>
      <c r="D54" s="346" t="str">
        <f t="shared" si="50"/>
        <v/>
      </c>
      <c r="E54" s="346" t="str">
        <f t="shared" si="50"/>
        <v/>
      </c>
      <c r="F54" s="346" t="str">
        <f t="shared" si="50"/>
        <v/>
      </c>
      <c r="G54" s="346" t="str">
        <f t="shared" si="50"/>
        <v/>
      </c>
      <c r="H54" s="346" t="str">
        <f t="shared" si="50"/>
        <v/>
      </c>
      <c r="I54" s="346" t="str">
        <f t="shared" si="50"/>
        <v/>
      </c>
      <c r="J54" s="346" t="str">
        <f t="shared" si="50"/>
        <v/>
      </c>
      <c r="K54" s="346" t="str">
        <f t="shared" si="50"/>
        <v/>
      </c>
      <c r="L54" s="346" t="str">
        <f>IF(AC54=0,"",AC54)</f>
        <v/>
      </c>
      <c r="M54" s="346" t="str">
        <f>IF(AD54=0,"",AD54)</f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ref="B55:C59" si="51">IF(S55=0,"",S55)</f>
        <v>Spieler 1</v>
      </c>
      <c r="C55" s="372" t="str">
        <f t="shared" si="51"/>
        <v/>
      </c>
      <c r="D55" s="344">
        <f>IF(U55=301,"",U55)</f>
        <v>165</v>
      </c>
      <c r="E55" s="344" t="str">
        <f>IF(V55=0,"",V55)</f>
        <v/>
      </c>
      <c r="F55" s="344">
        <f>IF(W55=301,"",W55)</f>
        <v>169</v>
      </c>
      <c r="G55" s="344" t="str">
        <f>IF(X55=0,"",X55)</f>
        <v/>
      </c>
      <c r="H55" s="344">
        <f>IF(Y55=301,"",Y55)</f>
        <v>222</v>
      </c>
      <c r="I55" s="344" t="str">
        <f>IF(Z55=0,"",Z55)</f>
        <v/>
      </c>
      <c r="J55" s="344">
        <f>IF(AA55=301,"",AA55)</f>
        <v>115</v>
      </c>
      <c r="K55" s="344" t="str">
        <f>IF(AB55=0,"",AB55)</f>
        <v/>
      </c>
      <c r="L55" s="344">
        <f>IF(AC55=301,"",AC55)</f>
        <v>141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165</v>
      </c>
      <c r="V55" s="368"/>
      <c r="W55" s="367">
        <f>ABS(INDEX(W:W,MATCH(W52,$S:$S,0)+5)+INDEX(W:W,MATCH(W52,$S:$S,0)+6)+INDEX(W:W,MATCH(W52,$S:$S,0)+7))</f>
        <v>169</v>
      </c>
      <c r="X55" s="368"/>
      <c r="Y55" s="367">
        <f>ABS(INDEX(Y:Y,MATCH(Y52,$S:$S,0)+5)+INDEX(Y:Y,MATCH(Y52,$S:$S,0)+6)+INDEX(Y:Y,MATCH(Y52,$S:$S,0)+7))</f>
        <v>222</v>
      </c>
      <c r="Z55" s="368"/>
      <c r="AA55" s="367">
        <f>ABS(INDEX(AA:AA,MATCH(AA52,$S:$S,0)+5)+INDEX(AA:AA,MATCH(AA52,$S:$S,0)+6)+INDEX(AA:AA,MATCH(AA52,$S:$S,0)+7))</f>
        <v>115</v>
      </c>
      <c r="AB55" s="368"/>
      <c r="AC55" s="367">
        <f>ABS(INDEX(AC:AC,MATCH(AC52,$S:$S,0)+5)+INDEX(AC:AC,MATCH(AC52,$S:$S,0)+6)+INDEX(AC:AC,MATCH(AC52,$S:$S,0)+7))</f>
        <v>141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1"/>
        <v/>
      </c>
      <c r="D56" s="344">
        <f>IF(U56=301,"",U56)</f>
        <v>131</v>
      </c>
      <c r="E56" s="344" t="str">
        <f>IF(V56=0,"",V56)</f>
        <v/>
      </c>
      <c r="F56" s="344">
        <f>IF(W56=301,"",W56)</f>
        <v>167</v>
      </c>
      <c r="G56" s="344" t="str">
        <f>IF(X56=0,"",X56)</f>
        <v/>
      </c>
      <c r="H56" s="344">
        <f>IF(Y56=301,"",Y56)</f>
        <v>182</v>
      </c>
      <c r="I56" s="344" t="str">
        <f>IF(Z56=0,"",Z56)</f>
        <v/>
      </c>
      <c r="J56" s="344">
        <f>IF(AA56=301,"",AA56)</f>
        <v>198</v>
      </c>
      <c r="K56" s="344" t="str">
        <f>IF(AB56=0,"",AB56)</f>
        <v/>
      </c>
      <c r="L56" s="344">
        <f>IF(AC56=301,"",AC56)</f>
        <v>156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131</v>
      </c>
      <c r="V56" s="366"/>
      <c r="W56" s="365">
        <f>ABS(INDEX(W:W,MATCH(W52,$S:$S,0)+8)+INDEX(W:W,MATCH(W52,$S:$S,0)+9)+INDEX(W:W,MATCH(W52,$S:$S,0)+10))</f>
        <v>167</v>
      </c>
      <c r="X56" s="366"/>
      <c r="Y56" s="365">
        <f>ABS(INDEX(Y:Y,MATCH(Y52,$S:$S,0)+8)+INDEX(Y:Y,MATCH(Y52,$S:$S,0)+9)+INDEX(Y:Y,MATCH(Y52,$S:$S,0)+10))</f>
        <v>182</v>
      </c>
      <c r="Z56" s="366"/>
      <c r="AA56" s="365">
        <f>ABS(INDEX(AA:AA,MATCH(AA52,$S:$S,0)+8)+INDEX(AA:AA,MATCH(AA52,$S:$S,0)+9)+INDEX(AA:AA,MATCH(AA52,$S:$S,0)+10))</f>
        <v>198</v>
      </c>
      <c r="AB56" s="366"/>
      <c r="AC56" s="365">
        <f>ABS(INDEX(AC:AC,MATCH(AC52,$S:$S,0)+8)+INDEX(AC:AC,MATCH(AC52,$S:$S,0)+9)+INDEX(AC:AC,MATCH(AC52,$S:$S,0)+10))</f>
        <v>156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1"/>
        <v/>
      </c>
      <c r="D57" s="344">
        <f>IF(U57=301,"",U57)</f>
        <v>199</v>
      </c>
      <c r="E57" s="344" t="str">
        <f>IF(V57=0,"",V57)</f>
        <v/>
      </c>
      <c r="F57" s="344">
        <f>IF(W57=301,"",W57)</f>
        <v>199</v>
      </c>
      <c r="G57" s="344" t="str">
        <f>IF(X57=0,"",X57)</f>
        <v/>
      </c>
      <c r="H57" s="344">
        <f>IF(Y57=301,"",Y57)</f>
        <v>182</v>
      </c>
      <c r="I57" s="344" t="str">
        <f>IF(Z57=0,"",Z57)</f>
        <v/>
      </c>
      <c r="J57" s="344">
        <f>IF(AA57=301,"",AA57)</f>
        <v>122</v>
      </c>
      <c r="K57" s="344" t="str">
        <f>IF(AB57=0,"",AB57)</f>
        <v/>
      </c>
      <c r="L57" s="344">
        <f>IF(AC57=301,"",AC57)</f>
        <v>205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199</v>
      </c>
      <c r="V57" s="366"/>
      <c r="W57" s="365">
        <f>ABS(INDEX(W:W,MATCH(W52,$S:$S,0)+11)+INDEX(W:W,MATCH(W52,$S:$S,0)+12)+INDEX(W:W,MATCH(W52,$S:$S,0)+13))</f>
        <v>199</v>
      </c>
      <c r="X57" s="366"/>
      <c r="Y57" s="365">
        <f>ABS(INDEX(Y:Y,MATCH(Y52,$S:$S,0)+11)+INDEX(Y:Y,MATCH(Y52,$S:$S,0)+12)+INDEX(Y:Y,MATCH(Y52,$S:$S,0)+13))</f>
        <v>182</v>
      </c>
      <c r="Z57" s="366"/>
      <c r="AA57" s="365">
        <f>ABS(INDEX(AA:AA,MATCH(AA52,$S:$S,0)+11)+INDEX(AA:AA,MATCH(AA52,$S:$S,0)+12)+INDEX(AA:AA,MATCH(AA52,$S:$S,0)+13))</f>
        <v>122</v>
      </c>
      <c r="AB57" s="366"/>
      <c r="AC57" s="365">
        <f>ABS(INDEX(AC:AC,MATCH(AC52,$S:$S,0)+11)+INDEX(AC:AC,MATCH(AC52,$S:$S,0)+12)+INDEX(AC:AC,MATCH(AC52,$S:$S,0)+13))</f>
        <v>205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1"/>
        <v/>
      </c>
      <c r="D58" s="344">
        <f>IF(U58=301,"",U58)</f>
        <v>183</v>
      </c>
      <c r="E58" s="344" t="str">
        <f>IF(V58=0,"",V58)</f>
        <v/>
      </c>
      <c r="F58" s="344">
        <f>IF(W58=301,"",W58)</f>
        <v>147</v>
      </c>
      <c r="G58" s="344" t="str">
        <f>IF(X58=0,"",X58)</f>
        <v/>
      </c>
      <c r="H58" s="344">
        <f>IF(Y58=301,"",Y58)</f>
        <v>192</v>
      </c>
      <c r="I58" s="344" t="str">
        <f>IF(Z58=0,"",Z58)</f>
        <v/>
      </c>
      <c r="J58" s="344">
        <f>IF(AA58=301,"",AA58)</f>
        <v>147</v>
      </c>
      <c r="K58" s="344" t="str">
        <f>IF(AB58=0,"",AB58)</f>
        <v/>
      </c>
      <c r="L58" s="344">
        <f>IF(AC58=301,"",AC58)</f>
        <v>172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183</v>
      </c>
      <c r="V58" s="366"/>
      <c r="W58" s="365">
        <f>ABS(INDEX(W:W,MATCH(W52,$S:$S,0)+14)+INDEX(W:W,MATCH(W52,$S:$S,0)+15)+INDEX(W:W,MATCH(W52,$S:$S,0)+16))</f>
        <v>147</v>
      </c>
      <c r="X58" s="366"/>
      <c r="Y58" s="365">
        <f>ABS(INDEX(Y:Y,MATCH(Y52,$S:$S,0)+14)+INDEX(Y:Y,MATCH(Y52,$S:$S,0)+15)+INDEX(Y:Y,MATCH(Y52,$S:$S,0)+16))</f>
        <v>192</v>
      </c>
      <c r="Z58" s="366"/>
      <c r="AA58" s="365">
        <f>ABS(INDEX(AA:AA,MATCH(AA52,$S:$S,0)+14)+INDEX(AA:AA,MATCH(AA52,$S:$S,0)+15)+INDEX(AA:AA,MATCH(AA52,$S:$S,0)+16))</f>
        <v>147</v>
      </c>
      <c r="AB58" s="366"/>
      <c r="AC58" s="365">
        <f>ABS(INDEX(AC:AC,MATCH(AC52,$S:$S,0)+14)+INDEX(AC:AC,MATCH(AC52,$S:$S,0)+15)+INDEX(AC:AC,MATCH(AC52,$S:$S,0)+16))</f>
        <v>172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1"/>
        <v/>
      </c>
      <c r="D59" s="343">
        <f>IF(U59=1505,"",U59)</f>
        <v>678</v>
      </c>
      <c r="E59" s="343" t="str">
        <f>IF(V59=0,"",V59)</f>
        <v/>
      </c>
      <c r="F59" s="343">
        <f>IF(W59=1505,"",W59)</f>
        <v>682</v>
      </c>
      <c r="G59" s="343" t="str">
        <f>IF(X59=0,"",X59)</f>
        <v/>
      </c>
      <c r="H59" s="343">
        <f>IF(Y59=1505,"",Y59)</f>
        <v>778</v>
      </c>
      <c r="I59" s="343" t="str">
        <f>IF(Z59=0,"",Z59)</f>
        <v/>
      </c>
      <c r="J59" s="343">
        <f>IF(AA59=1505,"",AA59)</f>
        <v>582</v>
      </c>
      <c r="K59" s="343" t="str">
        <f>IF(AB59=0,"",AB59)</f>
        <v/>
      </c>
      <c r="L59" s="343">
        <f>IF(AC59=1505,"",AC59)</f>
        <v>674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678</v>
      </c>
      <c r="V59" s="360"/>
      <c r="W59" s="359">
        <f>SUM(W55:W58)</f>
        <v>682</v>
      </c>
      <c r="X59" s="360"/>
      <c r="Y59" s="359">
        <f>SUM(Y55:Y58)</f>
        <v>778</v>
      </c>
      <c r="Z59" s="360"/>
      <c r="AA59" s="359">
        <f>SUM(AA55:AA58)</f>
        <v>582</v>
      </c>
      <c r="AB59" s="360"/>
      <c r="AC59" s="359">
        <f>SUM(AC55:AC58)</f>
        <v>674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/>
      <c r="N61" s="376" t="str">
        <f>AD61</f>
        <v>13.04.</v>
      </c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Schlüssel!$CO$1</f>
        <v>13.04.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">
        <v>1786</v>
      </c>
      <c r="E62" s="84" t="str">
        <f>V62</f>
        <v>Nürnberg West Bowling</v>
      </c>
      <c r="F62" s="77"/>
      <c r="G62" s="77"/>
      <c r="H62" s="77"/>
      <c r="I62" s="77"/>
      <c r="J62" s="77"/>
      <c r="K62" s="77"/>
      <c r="L62" s="29" t="s">
        <v>1784</v>
      </c>
      <c r="M62" s="86">
        <v>5</v>
      </c>
      <c r="N62" s="28"/>
      <c r="R62" s="49"/>
      <c r="S62" s="50">
        <v>3</v>
      </c>
      <c r="U62" s="30" t="s">
        <v>1786</v>
      </c>
      <c r="V62" s="84" t="str">
        <f>Schlüssel!$CE$2</f>
        <v>Nürnberg West Bowling</v>
      </c>
      <c r="X62" s="77"/>
      <c r="Y62" s="77"/>
      <c r="Z62" s="77"/>
      <c r="AA62" s="77"/>
      <c r="AB62" s="77"/>
      <c r="AC62" s="29" t="s">
        <v>1784</v>
      </c>
      <c r="AD62" s="34">
        <v>5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VLOOKUP(S62,Schlüssel!$A$5:$DZ$10,93)</f>
        <v>8</v>
      </c>
      <c r="W64" s="193" t="s">
        <v>10</v>
      </c>
      <c r="X64" s="191">
        <f>VLOOKUP(S62,Schlüssel!$A$5:$DZ$10,94)</f>
        <v>3</v>
      </c>
      <c r="Y64" s="193" t="s">
        <v>10</v>
      </c>
      <c r="Z64" s="191">
        <f>VLOOKUP(S62,Schlüssel!$A$5:$DZ$10,95)</f>
        <v>5</v>
      </c>
      <c r="AA64" s="193" t="s">
        <v>10</v>
      </c>
      <c r="AB64" s="191">
        <f>VLOOKUP(S62,Schlüssel!$A$5:$DZ$10,96)</f>
        <v>4</v>
      </c>
      <c r="AC64" s="193" t="s">
        <v>10</v>
      </c>
      <c r="AD64" s="192">
        <f>VLOOKUP(S62,Schlüssel!$A$5:$DZ$10,97)</f>
        <v>7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>Reichert, Roland</v>
      </c>
      <c r="C67" s="18">
        <f>IF(T67=0,"",T67)</f>
        <v>7123</v>
      </c>
      <c r="D67" s="14">
        <f>IF(U67=0,"",U67)</f>
        <v>159</v>
      </c>
      <c r="E67" s="352">
        <f>IF(V67="","",V67)</f>
        <v>0</v>
      </c>
      <c r="F67" s="14">
        <f t="shared" ref="F67:F80" si="52">IF(W67=0,"",W67)</f>
        <v>161</v>
      </c>
      <c r="G67" s="352">
        <f>IF(X67="","",X67)</f>
        <v>0.5</v>
      </c>
      <c r="H67" s="14">
        <f t="shared" ref="H67:H80" si="53">IF(Y67=0,"",Y67)</f>
        <v>179</v>
      </c>
      <c r="I67" s="352">
        <f>IF(Z67="","",Z67)</f>
        <v>1</v>
      </c>
      <c r="J67" s="14">
        <f t="shared" ref="J67:J80" si="54">IF(AA67=0,"",AA67)</f>
        <v>115</v>
      </c>
      <c r="K67" s="352">
        <f>IF(AB67="","",AB67)</f>
        <v>0</v>
      </c>
      <c r="L67" s="14">
        <f t="shared" ref="L67:L80" si="55">IF(AC67=0,"",AC67)</f>
        <v>163</v>
      </c>
      <c r="M67" s="352">
        <f>IF(AD67="","",AD67)</f>
        <v>0</v>
      </c>
      <c r="N67" s="14">
        <f t="shared" ref="N67:N80" si="56">IF(AE67=0,"",AE67)</f>
        <v>777</v>
      </c>
      <c r="O67" s="352">
        <f>IF(AF67="","",AF67)</f>
        <v>1.5</v>
      </c>
      <c r="R67" s="355" t="s">
        <v>0</v>
      </c>
      <c r="S67" s="68" t="str">
        <f>IF(T67=0,"",VLOOKUP(T67,Starter!$A$1:$D$196,2,FALSE))</f>
        <v>Reichert, Roland</v>
      </c>
      <c r="T67" s="175">
        <v>7123</v>
      </c>
      <c r="U67" s="183">
        <v>159</v>
      </c>
      <c r="V67" s="95">
        <f>IF(SUM(U67:U69)+U85=0,0,IF(ABS(SUM(U67:U69))=U85,0.5,IF(ABS(SUM(U67:U69))&gt;U85,1,0)))</f>
        <v>0</v>
      </c>
      <c r="W67" s="183">
        <v>161</v>
      </c>
      <c r="X67" s="95">
        <f>IF(SUM(W67:W69)+W85=0,0,IF(ABS(SUM(W67:W69))=W85,0.5,IF(ABS(SUM(W67:W69))&gt;W85,1,0)))</f>
        <v>0.5</v>
      </c>
      <c r="Y67" s="183">
        <v>179</v>
      </c>
      <c r="Z67" s="95">
        <f>IF(SUM(Y67:Y69)+Y85=0,0,IF(ABS(SUM(Y67:Y69))=Y85,0.5,IF(ABS(SUM(Y67:Y69))&gt;Y85,1,0)))</f>
        <v>1</v>
      </c>
      <c r="AA67" s="189">
        <v>115</v>
      </c>
      <c r="AB67" s="95">
        <f>IF(SUM(AA67:AA69)+AA85=0,0,IF(ABS(SUM(AA67:AA69))=AA85,0.5,IF(ABS(SUM(AA67:AA69))&gt;AA85,1,0)))</f>
        <v>0</v>
      </c>
      <c r="AC67" s="183">
        <v>163</v>
      </c>
      <c r="AD67" s="95">
        <f>IF(SUM(AC67:AC69)+AC85=0,0,IF(ABS(SUM(AC67:AC69))=AC85,0.5,IF(ABS(SUM(AC67:AC69))&gt;AC85,1,0)))</f>
        <v>0</v>
      </c>
      <c r="AE67" s="195">
        <f t="shared" ref="AE67:AE78" si="57">ABS(SUM(U67:U67))+ABS(SUM(W67:W67))+ABS(SUM(Y67:Y67))+ABS(SUM(AA67:AA67))+ABS(SUM(AC67:AC67))</f>
        <v>777</v>
      </c>
      <c r="AF67" s="180">
        <f>SUM(V67+X67+Z67+AB67+AD67)</f>
        <v>1.5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58">T67</f>
        <v>7123</v>
      </c>
      <c r="BE67" s="213">
        <f t="shared" ref="BE67:BE78" si="59">AE67</f>
        <v>777</v>
      </c>
      <c r="BF67" s="215">
        <f t="shared" ref="BF67:BF78" si="60">COUNT(BH67:BL67)</f>
        <v>5</v>
      </c>
      <c r="BG67" s="215">
        <f t="shared" ref="BG67:BG78" si="61">COUNTIF(BH67:BL67,"&gt;0")</f>
        <v>5</v>
      </c>
      <c r="BH67" s="215">
        <f t="shared" ref="BH67:BH78" si="62">IF(U67=0,"",U67)</f>
        <v>159</v>
      </c>
      <c r="BI67" s="215">
        <f t="shared" ref="BI67:BI78" si="63">IF(W67=0,"",W67)</f>
        <v>161</v>
      </c>
      <c r="BJ67" s="215">
        <f t="shared" ref="BJ67:BJ78" si="64">IF(Y67=0,"",Y67)</f>
        <v>179</v>
      </c>
      <c r="BK67" s="215">
        <f t="shared" ref="BK67:BK78" si="65">IF(AA67=0,"",AA67)</f>
        <v>115</v>
      </c>
      <c r="BL67" s="215">
        <f t="shared" ref="BL67:BL78" si="66">IF(AC67=0,"",AC67)</f>
        <v>163</v>
      </c>
      <c r="BM67" s="216"/>
      <c r="BN67" s="214"/>
      <c r="BO67" s="215">
        <f t="shared" ref="BO67:BO78" si="67">MAX(BH67:BL67)</f>
        <v>179</v>
      </c>
      <c r="BP67" s="215">
        <f t="shared" ref="BP67:BP78" si="68">IF(BO67&lt;MAX(BO:BO),0,BO67+ROW()/1000000000)</f>
        <v>0</v>
      </c>
      <c r="BQ67" s="215" t="str">
        <f>+S63</f>
        <v>Kings Club Bayreuth Land 2</v>
      </c>
      <c r="BR67" s="214">
        <f t="shared" ref="BR67:BR78" si="69">RANK(BP67,BP:BP)</f>
        <v>2</v>
      </c>
      <c r="BS67" s="215">
        <f t="shared" ref="BS67:BS78" si="70">SUMIF(BH67:BL67,"&gt;0")</f>
        <v>777</v>
      </c>
      <c r="BT67" s="215">
        <f>IF(COUNTIF(BH67:BL67,"&gt;0")&lt;Spielorte!$A$23,0,BE67/Spielorte!$A$23)</f>
        <v>155.4</v>
      </c>
      <c r="BU67" s="215">
        <f t="shared" ref="BU67:BU78" si="71">IF(BT67&lt;MAX(BT:BT),0,BT67+ROW()/1000000000)</f>
        <v>0</v>
      </c>
      <c r="BV67" s="214">
        <f t="shared" ref="BV67:BV78" si="72">IF(BU67=0,0,RANK(BU67,BU:BU))</f>
        <v>0</v>
      </c>
    </row>
    <row r="68" spans="1:74" ht="17.100000000000001" customHeight="1" x14ac:dyDescent="0.2">
      <c r="A68" s="374"/>
      <c r="B68" s="19" t="str">
        <f t="shared" ref="B68:D80" si="73">IF(S68=0,"",S68)</f>
        <v/>
      </c>
      <c r="C68" s="20" t="str">
        <f t="shared" si="73"/>
        <v/>
      </c>
      <c r="D68" s="15" t="str">
        <f t="shared" si="73"/>
        <v/>
      </c>
      <c r="E68" s="353"/>
      <c r="F68" s="15" t="str">
        <f t="shared" si="52"/>
        <v/>
      </c>
      <c r="G68" s="353"/>
      <c r="H68" s="15" t="str">
        <f t="shared" si="53"/>
        <v/>
      </c>
      <c r="I68" s="353"/>
      <c r="J68" s="15" t="str">
        <f t="shared" si="54"/>
        <v/>
      </c>
      <c r="K68" s="353"/>
      <c r="L68" s="15" t="str">
        <f t="shared" si="55"/>
        <v/>
      </c>
      <c r="M68" s="353"/>
      <c r="N68" s="15" t="str">
        <f t="shared" si="56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7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58"/>
        <v>0</v>
      </c>
      <c r="BE68" s="213">
        <f t="shared" si="59"/>
        <v>0</v>
      </c>
      <c r="BF68" s="215">
        <f t="shared" si="60"/>
        <v>0</v>
      </c>
      <c r="BG68" s="215">
        <f t="shared" si="61"/>
        <v>0</v>
      </c>
      <c r="BH68" s="215" t="str">
        <f t="shared" si="62"/>
        <v/>
      </c>
      <c r="BI68" s="215" t="str">
        <f t="shared" si="63"/>
        <v/>
      </c>
      <c r="BJ68" s="215" t="str">
        <f t="shared" si="64"/>
        <v/>
      </c>
      <c r="BK68" s="215" t="str">
        <f t="shared" si="65"/>
        <v/>
      </c>
      <c r="BL68" s="215" t="str">
        <f t="shared" si="66"/>
        <v/>
      </c>
      <c r="BM68" s="216"/>
      <c r="BN68" s="214"/>
      <c r="BO68" s="215">
        <f t="shared" si="67"/>
        <v>0</v>
      </c>
      <c r="BP68" s="215">
        <f t="shared" si="68"/>
        <v>0</v>
      </c>
      <c r="BQ68" s="215" t="str">
        <f t="shared" ref="BQ68:BQ78" si="74">+BQ67</f>
        <v>Kings Club Bayreuth Land 2</v>
      </c>
      <c r="BR68" s="214">
        <f t="shared" si="69"/>
        <v>2</v>
      </c>
      <c r="BS68" s="215">
        <f t="shared" si="70"/>
        <v>0</v>
      </c>
      <c r="BT68" s="215">
        <f>IF(COUNTIF(BH68:BL68,"&gt;0")&lt;Spielorte!$A$23,0,BE68/Spielorte!$A$23)</f>
        <v>0</v>
      </c>
      <c r="BU68" s="215">
        <f t="shared" si="71"/>
        <v>0</v>
      </c>
      <c r="BV68" s="214">
        <f t="shared" si="72"/>
        <v>0</v>
      </c>
    </row>
    <row r="69" spans="1:74" ht="17.100000000000001" customHeight="1" thickBot="1" x14ac:dyDescent="0.25">
      <c r="A69" s="375"/>
      <c r="B69" s="21" t="str">
        <f t="shared" si="73"/>
        <v/>
      </c>
      <c r="C69" s="22" t="str">
        <f t="shared" si="73"/>
        <v/>
      </c>
      <c r="D69" s="9" t="str">
        <f t="shared" si="73"/>
        <v/>
      </c>
      <c r="E69" s="354"/>
      <c r="F69" s="9" t="str">
        <f t="shared" si="52"/>
        <v/>
      </c>
      <c r="G69" s="354"/>
      <c r="H69" s="9" t="str">
        <f t="shared" si="53"/>
        <v/>
      </c>
      <c r="I69" s="354"/>
      <c r="J69" s="9" t="str">
        <f t="shared" si="54"/>
        <v/>
      </c>
      <c r="K69" s="354"/>
      <c r="L69" s="9" t="str">
        <f t="shared" si="55"/>
        <v/>
      </c>
      <c r="M69" s="354"/>
      <c r="N69" s="9" t="str">
        <f t="shared" si="56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7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58"/>
        <v>0</v>
      </c>
      <c r="BE69" s="213">
        <f t="shared" si="59"/>
        <v>0</v>
      </c>
      <c r="BF69" s="215">
        <f t="shared" si="60"/>
        <v>0</v>
      </c>
      <c r="BG69" s="215">
        <f t="shared" si="61"/>
        <v>0</v>
      </c>
      <c r="BH69" s="215" t="str">
        <f t="shared" si="62"/>
        <v/>
      </c>
      <c r="BI69" s="215" t="str">
        <f t="shared" si="63"/>
        <v/>
      </c>
      <c r="BJ69" s="215" t="str">
        <f t="shared" si="64"/>
        <v/>
      </c>
      <c r="BK69" s="215" t="str">
        <f t="shared" si="65"/>
        <v/>
      </c>
      <c r="BL69" s="215" t="str">
        <f t="shared" si="66"/>
        <v/>
      </c>
      <c r="BM69" s="216"/>
      <c r="BN69" s="214"/>
      <c r="BO69" s="215">
        <f t="shared" si="67"/>
        <v>0</v>
      </c>
      <c r="BP69" s="215">
        <f t="shared" si="68"/>
        <v>0</v>
      </c>
      <c r="BQ69" s="215" t="str">
        <f t="shared" si="74"/>
        <v>Kings Club Bayreuth Land 2</v>
      </c>
      <c r="BR69" s="214">
        <f t="shared" si="69"/>
        <v>2</v>
      </c>
      <c r="BS69" s="215">
        <f t="shared" si="70"/>
        <v>0</v>
      </c>
      <c r="BT69" s="215">
        <f>IF(COUNTIF(BH69:BL69,"&gt;0")&lt;Spielorte!$A$23,0,BE69/Spielorte!$A$23)</f>
        <v>0</v>
      </c>
      <c r="BU69" s="215">
        <f t="shared" si="71"/>
        <v>0</v>
      </c>
      <c r="BV69" s="214">
        <f t="shared" si="72"/>
        <v>0</v>
      </c>
    </row>
    <row r="70" spans="1:74" ht="17.100000000000001" customHeight="1" x14ac:dyDescent="0.2">
      <c r="A70" s="373" t="s">
        <v>2</v>
      </c>
      <c r="B70" s="17" t="str">
        <f t="shared" si="73"/>
        <v>Katholing, Jürgen</v>
      </c>
      <c r="C70" s="18">
        <f t="shared" si="73"/>
        <v>38661</v>
      </c>
      <c r="D70" s="14">
        <f t="shared" si="73"/>
        <v>179</v>
      </c>
      <c r="E70" s="352">
        <f>IF(V70="","",V70)</f>
        <v>0</v>
      </c>
      <c r="F70" s="14">
        <f t="shared" si="52"/>
        <v>154</v>
      </c>
      <c r="G70" s="352">
        <f>IF(X70="","",X70)</f>
        <v>0</v>
      </c>
      <c r="H70" s="14">
        <f t="shared" si="53"/>
        <v>150</v>
      </c>
      <c r="I70" s="352">
        <f>IF(Z70="","",Z70)</f>
        <v>0</v>
      </c>
      <c r="J70" s="14">
        <f t="shared" si="54"/>
        <v>198</v>
      </c>
      <c r="K70" s="352">
        <f>IF(AB70="","",AB70)</f>
        <v>1</v>
      </c>
      <c r="L70" s="14">
        <f t="shared" si="55"/>
        <v>118</v>
      </c>
      <c r="M70" s="352">
        <f>IF(AD70="","",AD70)</f>
        <v>0</v>
      </c>
      <c r="N70" s="14">
        <f t="shared" si="56"/>
        <v>799</v>
      </c>
      <c r="O70" s="352">
        <f>IF(AF70="","",AF70)</f>
        <v>1</v>
      </c>
      <c r="R70" s="355" t="s">
        <v>2</v>
      </c>
      <c r="S70" s="68" t="str">
        <f>IF(T70=0,"",VLOOKUP(T70,Starter!$A$1:$D$196,2,FALSE))</f>
        <v>Katholing, Jürgen</v>
      </c>
      <c r="T70" s="178">
        <v>38661</v>
      </c>
      <c r="U70" s="186">
        <v>179</v>
      </c>
      <c r="V70" s="95">
        <f>IF(SUM(U70:U72)+U86=0,0,IF(ABS(SUM(U70:U72))=U86,0.5,IF(ABS(SUM(U70:U72))&gt;U86,1,0)))</f>
        <v>0</v>
      </c>
      <c r="W70" s="186">
        <v>154</v>
      </c>
      <c r="X70" s="95">
        <f>IF(SUM(W70:W72)+W86=0,0,IF(ABS(SUM(W70:W72))=W86,0.5,IF(ABS(SUM(W70:W72))&gt;W86,1,0)))</f>
        <v>0</v>
      </c>
      <c r="Y70" s="186">
        <v>150</v>
      </c>
      <c r="Z70" s="95">
        <f>IF(SUM(Y70:Y72)+Y86=0,0,IF(ABS(SUM(Y70:Y72))=Y86,0.5,IF(ABS(SUM(Y70:Y72))&gt;Y86,1,0)))</f>
        <v>0</v>
      </c>
      <c r="AA70" s="186">
        <v>198</v>
      </c>
      <c r="AB70" s="95">
        <f>IF(SUM(AA70:AA72)+AA86=0,0,IF(ABS(SUM(AA70:AA72))=AA86,0.5,IF(ABS(SUM(AA70:AA72))&gt;AA86,1,0)))</f>
        <v>1</v>
      </c>
      <c r="AC70" s="186">
        <v>118</v>
      </c>
      <c r="AD70" s="95">
        <f>IF(SUM(AC70:AC72)+AC86=0,0,IF(ABS(SUM(AC70:AC72))=AC86,0.5,IF(ABS(SUM(AC70:AC72))&gt;AC86,1,0)))</f>
        <v>0</v>
      </c>
      <c r="AE70" s="195">
        <f t="shared" si="57"/>
        <v>799</v>
      </c>
      <c r="AF70" s="180">
        <f>SUM(V70+X70+Z70+AB70+AD70)</f>
        <v>1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58"/>
        <v>38661</v>
      </c>
      <c r="BE70" s="213">
        <f t="shared" si="59"/>
        <v>799</v>
      </c>
      <c r="BF70" s="215">
        <f t="shared" si="60"/>
        <v>5</v>
      </c>
      <c r="BG70" s="215">
        <f t="shared" si="61"/>
        <v>5</v>
      </c>
      <c r="BH70" s="215">
        <f t="shared" si="62"/>
        <v>179</v>
      </c>
      <c r="BI70" s="215">
        <f t="shared" si="63"/>
        <v>154</v>
      </c>
      <c r="BJ70" s="215">
        <f t="shared" si="64"/>
        <v>150</v>
      </c>
      <c r="BK70" s="215">
        <f t="shared" si="65"/>
        <v>198</v>
      </c>
      <c r="BL70" s="215">
        <f t="shared" si="66"/>
        <v>118</v>
      </c>
      <c r="BM70" s="216"/>
      <c r="BN70" s="214"/>
      <c r="BO70" s="215">
        <f t="shared" si="67"/>
        <v>198</v>
      </c>
      <c r="BP70" s="215">
        <f t="shared" si="68"/>
        <v>0</v>
      </c>
      <c r="BQ70" s="215" t="str">
        <f t="shared" si="74"/>
        <v>Kings Club Bayreuth Land 2</v>
      </c>
      <c r="BR70" s="214">
        <f t="shared" si="69"/>
        <v>2</v>
      </c>
      <c r="BS70" s="215">
        <f t="shared" si="70"/>
        <v>799</v>
      </c>
      <c r="BT70" s="215">
        <f>IF(COUNTIF(BH70:BL70,"&gt;0")&lt;Spielorte!$A$23,0,BE70/Spielorte!$A$23)</f>
        <v>159.80000000000001</v>
      </c>
      <c r="BU70" s="215">
        <f t="shared" si="71"/>
        <v>0</v>
      </c>
      <c r="BV70" s="214">
        <f t="shared" si="72"/>
        <v>0</v>
      </c>
    </row>
    <row r="71" spans="1:74" ht="17.100000000000001" customHeight="1" x14ac:dyDescent="0.2">
      <c r="A71" s="374"/>
      <c r="B71" s="19" t="str">
        <f t="shared" si="73"/>
        <v/>
      </c>
      <c r="C71" s="20" t="str">
        <f t="shared" si="73"/>
        <v/>
      </c>
      <c r="D71" s="15" t="str">
        <f t="shared" si="73"/>
        <v/>
      </c>
      <c r="E71" s="353"/>
      <c r="F71" s="15" t="str">
        <f t="shared" si="52"/>
        <v/>
      </c>
      <c r="G71" s="353"/>
      <c r="H71" s="15" t="str">
        <f t="shared" si="53"/>
        <v/>
      </c>
      <c r="I71" s="353"/>
      <c r="J71" s="15" t="str">
        <f t="shared" si="54"/>
        <v/>
      </c>
      <c r="K71" s="353"/>
      <c r="L71" s="15" t="str">
        <f t="shared" si="55"/>
        <v/>
      </c>
      <c r="M71" s="353"/>
      <c r="N71" s="15" t="str">
        <f t="shared" si="56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7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58"/>
        <v>0</v>
      </c>
      <c r="BE71" s="213">
        <f t="shared" si="59"/>
        <v>0</v>
      </c>
      <c r="BF71" s="215">
        <f t="shared" si="60"/>
        <v>0</v>
      </c>
      <c r="BG71" s="215">
        <f t="shared" si="61"/>
        <v>0</v>
      </c>
      <c r="BH71" s="215" t="str">
        <f t="shared" si="62"/>
        <v/>
      </c>
      <c r="BI71" s="215" t="str">
        <f t="shared" si="63"/>
        <v/>
      </c>
      <c r="BJ71" s="215" t="str">
        <f t="shared" si="64"/>
        <v/>
      </c>
      <c r="BK71" s="215" t="str">
        <f t="shared" si="65"/>
        <v/>
      </c>
      <c r="BL71" s="215" t="str">
        <f t="shared" si="66"/>
        <v/>
      </c>
      <c r="BM71" s="216"/>
      <c r="BN71" s="214"/>
      <c r="BO71" s="215">
        <f t="shared" si="67"/>
        <v>0</v>
      </c>
      <c r="BP71" s="215">
        <f t="shared" si="68"/>
        <v>0</v>
      </c>
      <c r="BQ71" s="215" t="str">
        <f t="shared" si="74"/>
        <v>Kings Club Bayreuth Land 2</v>
      </c>
      <c r="BR71" s="214">
        <f t="shared" si="69"/>
        <v>2</v>
      </c>
      <c r="BS71" s="215">
        <f t="shared" si="70"/>
        <v>0</v>
      </c>
      <c r="BT71" s="215">
        <f>IF(COUNTIF(BH71:BL71,"&gt;0")&lt;Spielorte!$A$23,0,BE71/Spielorte!$A$23)</f>
        <v>0</v>
      </c>
      <c r="BU71" s="215">
        <f t="shared" si="71"/>
        <v>0</v>
      </c>
      <c r="BV71" s="214">
        <f t="shared" si="72"/>
        <v>0</v>
      </c>
    </row>
    <row r="72" spans="1:74" ht="17.100000000000001" customHeight="1" thickBot="1" x14ac:dyDescent="0.25">
      <c r="A72" s="375"/>
      <c r="B72" s="21" t="str">
        <f t="shared" si="73"/>
        <v/>
      </c>
      <c r="C72" s="22" t="str">
        <f t="shared" si="73"/>
        <v/>
      </c>
      <c r="D72" s="9" t="str">
        <f t="shared" si="73"/>
        <v/>
      </c>
      <c r="E72" s="354"/>
      <c r="F72" s="9" t="str">
        <f t="shared" si="52"/>
        <v/>
      </c>
      <c r="G72" s="354"/>
      <c r="H72" s="9" t="str">
        <f t="shared" si="53"/>
        <v/>
      </c>
      <c r="I72" s="354"/>
      <c r="J72" s="9" t="str">
        <f t="shared" si="54"/>
        <v/>
      </c>
      <c r="K72" s="354"/>
      <c r="L72" s="9" t="str">
        <f t="shared" si="55"/>
        <v/>
      </c>
      <c r="M72" s="354"/>
      <c r="N72" s="9" t="str">
        <f t="shared" si="56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7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58"/>
        <v>0</v>
      </c>
      <c r="BE72" s="213">
        <f t="shared" si="59"/>
        <v>0</v>
      </c>
      <c r="BF72" s="215">
        <f t="shared" si="60"/>
        <v>0</v>
      </c>
      <c r="BG72" s="215">
        <f t="shared" si="61"/>
        <v>0</v>
      </c>
      <c r="BH72" s="215" t="str">
        <f t="shared" si="62"/>
        <v/>
      </c>
      <c r="BI72" s="215" t="str">
        <f t="shared" si="63"/>
        <v/>
      </c>
      <c r="BJ72" s="215" t="str">
        <f t="shared" si="64"/>
        <v/>
      </c>
      <c r="BK72" s="215" t="str">
        <f t="shared" si="65"/>
        <v/>
      </c>
      <c r="BL72" s="215" t="str">
        <f t="shared" si="66"/>
        <v/>
      </c>
      <c r="BM72" s="216"/>
      <c r="BN72" s="214"/>
      <c r="BO72" s="215">
        <f t="shared" si="67"/>
        <v>0</v>
      </c>
      <c r="BP72" s="215">
        <f t="shared" si="68"/>
        <v>0</v>
      </c>
      <c r="BQ72" s="215" t="str">
        <f t="shared" si="74"/>
        <v>Kings Club Bayreuth Land 2</v>
      </c>
      <c r="BR72" s="214">
        <f t="shared" si="69"/>
        <v>2</v>
      </c>
      <c r="BS72" s="215">
        <f t="shared" si="70"/>
        <v>0</v>
      </c>
      <c r="BT72" s="215">
        <f>IF(COUNTIF(BH72:BL72,"&gt;0")&lt;Spielorte!$A$23,0,BE72/Spielorte!$A$23)</f>
        <v>0</v>
      </c>
      <c r="BU72" s="215">
        <f t="shared" si="71"/>
        <v>0</v>
      </c>
      <c r="BV72" s="214">
        <f t="shared" si="72"/>
        <v>0</v>
      </c>
    </row>
    <row r="73" spans="1:74" ht="17.100000000000001" customHeight="1" x14ac:dyDescent="0.2">
      <c r="A73" s="373" t="s">
        <v>3</v>
      </c>
      <c r="B73" s="17" t="str">
        <f t="shared" si="73"/>
        <v>Theisen, Alexander</v>
      </c>
      <c r="C73" s="18">
        <f t="shared" si="73"/>
        <v>25479</v>
      </c>
      <c r="D73" s="14">
        <f t="shared" si="73"/>
        <v>145</v>
      </c>
      <c r="E73" s="352">
        <f>IF(V73="","",V73)</f>
        <v>0</v>
      </c>
      <c r="F73" s="14">
        <f t="shared" si="52"/>
        <v>146</v>
      </c>
      <c r="G73" s="352">
        <f>IF(X73="","",X73)</f>
        <v>0</v>
      </c>
      <c r="H73" s="14">
        <f t="shared" si="53"/>
        <v>162</v>
      </c>
      <c r="I73" s="352">
        <f>IF(Z73="","",Z73)</f>
        <v>1</v>
      </c>
      <c r="J73" s="14">
        <f t="shared" si="54"/>
        <v>122</v>
      </c>
      <c r="K73" s="352">
        <f>IF(AB73="","",AB73)</f>
        <v>0</v>
      </c>
      <c r="L73" s="14">
        <f t="shared" si="55"/>
        <v>227</v>
      </c>
      <c r="M73" s="352">
        <f>IF(AD73="","",AD73)</f>
        <v>1</v>
      </c>
      <c r="N73" s="14">
        <f t="shared" si="56"/>
        <v>802</v>
      </c>
      <c r="O73" s="352">
        <f>IF(AF73="","",AF73)</f>
        <v>2</v>
      </c>
      <c r="R73" s="355" t="s">
        <v>3</v>
      </c>
      <c r="S73" s="68" t="str">
        <f>IF(T73=0,"",VLOOKUP(T73,Starter!$A$1:$D$196,2,FALSE))</f>
        <v>Theisen, Alexander</v>
      </c>
      <c r="T73" s="178">
        <v>25479</v>
      </c>
      <c r="U73" s="186">
        <v>145</v>
      </c>
      <c r="V73" s="95">
        <f>IF(SUM(U73:U75)+U87=0,0,IF(ABS(SUM(U73:U75))=U87,0.5,IF(ABS(SUM(U73:U75))&gt;U87,1,0)))</f>
        <v>0</v>
      </c>
      <c r="W73" s="186">
        <v>146</v>
      </c>
      <c r="X73" s="95">
        <f>IF(SUM(W73:W75)+W87=0,0,IF(ABS(SUM(W73:W75))=W87,0.5,IF(ABS(SUM(W73:W75))&gt;W87,1,0)))</f>
        <v>0</v>
      </c>
      <c r="Y73" s="186">
        <v>162</v>
      </c>
      <c r="Z73" s="95">
        <f>IF(SUM(Y73:Y75)+Y87=0,0,IF(ABS(SUM(Y73:Y75))=Y87,0.5,IF(ABS(SUM(Y73:Y75))&gt;Y87,1,0)))</f>
        <v>1</v>
      </c>
      <c r="AA73" s="186">
        <v>122</v>
      </c>
      <c r="AB73" s="95">
        <f>IF(SUM(AA73:AA75)+AA87=0,0,IF(ABS(SUM(AA73:AA75))=AA87,0.5,IF(ABS(SUM(AA73:AA75))&gt;AA87,1,0)))</f>
        <v>0</v>
      </c>
      <c r="AC73" s="186">
        <v>227</v>
      </c>
      <c r="AD73" s="95">
        <f>IF(SUM(AC73:AC75)+AC87=0,0,IF(ABS(SUM(AC73:AC75))=AC87,0.5,IF(ABS(SUM(AC73:AC75))&gt;AC87,1,0)))</f>
        <v>1</v>
      </c>
      <c r="AE73" s="195">
        <f t="shared" si="57"/>
        <v>802</v>
      </c>
      <c r="AF73" s="180">
        <f>SUM(V73+X73+Z73+AB73+AD73)</f>
        <v>2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58"/>
        <v>25479</v>
      </c>
      <c r="BE73" s="213">
        <f t="shared" si="59"/>
        <v>802</v>
      </c>
      <c r="BF73" s="215">
        <f t="shared" si="60"/>
        <v>5</v>
      </c>
      <c r="BG73" s="215">
        <f t="shared" si="61"/>
        <v>5</v>
      </c>
      <c r="BH73" s="215">
        <f t="shared" si="62"/>
        <v>145</v>
      </c>
      <c r="BI73" s="215">
        <f t="shared" si="63"/>
        <v>146</v>
      </c>
      <c r="BJ73" s="215">
        <f t="shared" si="64"/>
        <v>162</v>
      </c>
      <c r="BK73" s="215">
        <f t="shared" si="65"/>
        <v>122</v>
      </c>
      <c r="BL73" s="215">
        <f t="shared" si="66"/>
        <v>227</v>
      </c>
      <c r="BM73" s="216"/>
      <c r="BN73" s="214"/>
      <c r="BO73" s="215">
        <f t="shared" si="67"/>
        <v>227</v>
      </c>
      <c r="BP73" s="215">
        <f t="shared" si="68"/>
        <v>0</v>
      </c>
      <c r="BQ73" s="215" t="str">
        <f t="shared" si="74"/>
        <v>Kings Club Bayreuth Land 2</v>
      </c>
      <c r="BR73" s="214">
        <f t="shared" si="69"/>
        <v>2</v>
      </c>
      <c r="BS73" s="215">
        <f t="shared" si="70"/>
        <v>802</v>
      </c>
      <c r="BT73" s="215">
        <f>IF(COUNTIF(BH73:BL73,"&gt;0")&lt;Spielorte!$A$23,0,BE73/Spielorte!$A$23)</f>
        <v>160.4</v>
      </c>
      <c r="BU73" s="215">
        <f t="shared" si="71"/>
        <v>0</v>
      </c>
      <c r="BV73" s="214">
        <f t="shared" si="72"/>
        <v>0</v>
      </c>
    </row>
    <row r="74" spans="1:74" ht="17.100000000000001" customHeight="1" x14ac:dyDescent="0.2">
      <c r="A74" s="374"/>
      <c r="B74" s="19" t="str">
        <f t="shared" si="73"/>
        <v/>
      </c>
      <c r="C74" s="20" t="str">
        <f t="shared" si="73"/>
        <v/>
      </c>
      <c r="D74" s="15" t="str">
        <f t="shared" si="73"/>
        <v/>
      </c>
      <c r="E74" s="353"/>
      <c r="F74" s="15" t="str">
        <f t="shared" si="52"/>
        <v/>
      </c>
      <c r="G74" s="353"/>
      <c r="H74" s="15" t="str">
        <f t="shared" si="53"/>
        <v/>
      </c>
      <c r="I74" s="353"/>
      <c r="J74" s="15" t="str">
        <f t="shared" si="54"/>
        <v/>
      </c>
      <c r="K74" s="353"/>
      <c r="L74" s="15" t="str">
        <f t="shared" si="55"/>
        <v/>
      </c>
      <c r="M74" s="353"/>
      <c r="N74" s="15" t="str">
        <f t="shared" si="56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7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58"/>
        <v>0</v>
      </c>
      <c r="BE74" s="213">
        <f t="shared" si="59"/>
        <v>0</v>
      </c>
      <c r="BF74" s="215">
        <f t="shared" si="60"/>
        <v>0</v>
      </c>
      <c r="BG74" s="215">
        <f t="shared" si="61"/>
        <v>0</v>
      </c>
      <c r="BH74" s="215" t="str">
        <f t="shared" si="62"/>
        <v/>
      </c>
      <c r="BI74" s="215" t="str">
        <f t="shared" si="63"/>
        <v/>
      </c>
      <c r="BJ74" s="215" t="str">
        <f t="shared" si="64"/>
        <v/>
      </c>
      <c r="BK74" s="215" t="str">
        <f t="shared" si="65"/>
        <v/>
      </c>
      <c r="BL74" s="215" t="str">
        <f t="shared" si="66"/>
        <v/>
      </c>
      <c r="BM74" s="216"/>
      <c r="BN74" s="214"/>
      <c r="BO74" s="215">
        <f t="shared" si="67"/>
        <v>0</v>
      </c>
      <c r="BP74" s="215">
        <f t="shared" si="68"/>
        <v>0</v>
      </c>
      <c r="BQ74" s="215" t="str">
        <f t="shared" si="74"/>
        <v>Kings Club Bayreuth Land 2</v>
      </c>
      <c r="BR74" s="214">
        <f t="shared" si="69"/>
        <v>2</v>
      </c>
      <c r="BS74" s="215">
        <f t="shared" si="70"/>
        <v>0</v>
      </c>
      <c r="BT74" s="215">
        <f>IF(COUNTIF(BH74:BL74,"&gt;0")&lt;Spielorte!$A$23,0,BE74/Spielorte!$A$23)</f>
        <v>0</v>
      </c>
      <c r="BU74" s="215">
        <f t="shared" si="71"/>
        <v>0</v>
      </c>
      <c r="BV74" s="214">
        <f t="shared" si="72"/>
        <v>0</v>
      </c>
    </row>
    <row r="75" spans="1:74" ht="17.100000000000001" customHeight="1" thickBot="1" x14ac:dyDescent="0.25">
      <c r="A75" s="375"/>
      <c r="B75" s="21" t="str">
        <f t="shared" si="73"/>
        <v/>
      </c>
      <c r="C75" s="22" t="str">
        <f t="shared" si="73"/>
        <v/>
      </c>
      <c r="D75" s="9" t="str">
        <f t="shared" si="73"/>
        <v/>
      </c>
      <c r="E75" s="354"/>
      <c r="F75" s="9" t="str">
        <f t="shared" si="52"/>
        <v/>
      </c>
      <c r="G75" s="354"/>
      <c r="H75" s="9" t="str">
        <f t="shared" si="53"/>
        <v/>
      </c>
      <c r="I75" s="354"/>
      <c r="J75" s="9" t="str">
        <f t="shared" si="54"/>
        <v/>
      </c>
      <c r="K75" s="354"/>
      <c r="L75" s="9" t="str">
        <f t="shared" si="55"/>
        <v/>
      </c>
      <c r="M75" s="354"/>
      <c r="N75" s="9" t="str">
        <f t="shared" si="56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7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58"/>
        <v>0</v>
      </c>
      <c r="BE75" s="213">
        <f t="shared" si="59"/>
        <v>0</v>
      </c>
      <c r="BF75" s="215">
        <f t="shared" si="60"/>
        <v>0</v>
      </c>
      <c r="BG75" s="215">
        <f t="shared" si="61"/>
        <v>0</v>
      </c>
      <c r="BH75" s="215" t="str">
        <f t="shared" si="62"/>
        <v/>
      </c>
      <c r="BI75" s="215" t="str">
        <f t="shared" si="63"/>
        <v/>
      </c>
      <c r="BJ75" s="215" t="str">
        <f t="shared" si="64"/>
        <v/>
      </c>
      <c r="BK75" s="215" t="str">
        <f t="shared" si="65"/>
        <v/>
      </c>
      <c r="BL75" s="215" t="str">
        <f t="shared" si="66"/>
        <v/>
      </c>
      <c r="BM75" s="216"/>
      <c r="BN75" s="214"/>
      <c r="BO75" s="215">
        <f t="shared" si="67"/>
        <v>0</v>
      </c>
      <c r="BP75" s="215">
        <f t="shared" si="68"/>
        <v>0</v>
      </c>
      <c r="BQ75" s="215" t="str">
        <f t="shared" si="74"/>
        <v>Kings Club Bayreuth Land 2</v>
      </c>
      <c r="BR75" s="214">
        <f t="shared" si="69"/>
        <v>2</v>
      </c>
      <c r="BS75" s="215">
        <f t="shared" si="70"/>
        <v>0</v>
      </c>
      <c r="BT75" s="215">
        <f>IF(COUNTIF(BH75:BL75,"&gt;0")&lt;Spielorte!$A$23,0,BE75/Spielorte!$A$23)</f>
        <v>0</v>
      </c>
      <c r="BU75" s="215">
        <f t="shared" si="71"/>
        <v>0</v>
      </c>
      <c r="BV75" s="214">
        <f t="shared" si="72"/>
        <v>0</v>
      </c>
    </row>
    <row r="76" spans="1:74" ht="17.100000000000001" customHeight="1" x14ac:dyDescent="0.2">
      <c r="A76" s="373" t="s">
        <v>11</v>
      </c>
      <c r="B76" s="17" t="str">
        <f>IF(S76=0,"",S76)</f>
        <v>Wülfert, Frank</v>
      </c>
      <c r="C76" s="18">
        <f t="shared" si="73"/>
        <v>7126</v>
      </c>
      <c r="D76" s="14">
        <f t="shared" si="73"/>
        <v>198</v>
      </c>
      <c r="E76" s="352">
        <f>IF(V76="","",V76)</f>
        <v>1</v>
      </c>
      <c r="F76" s="14">
        <f t="shared" si="52"/>
        <v>198</v>
      </c>
      <c r="G76" s="352">
        <f>IF(X76="","",X76)</f>
        <v>0</v>
      </c>
      <c r="H76" s="14">
        <f t="shared" si="53"/>
        <v>226</v>
      </c>
      <c r="I76" s="352">
        <f>IF(Z76="","",Z76)</f>
        <v>1</v>
      </c>
      <c r="J76" s="14">
        <f t="shared" si="54"/>
        <v>147</v>
      </c>
      <c r="K76" s="352">
        <f>IF(AB76="","",AB76)</f>
        <v>0</v>
      </c>
      <c r="L76" s="14">
        <f t="shared" si="55"/>
        <v>191</v>
      </c>
      <c r="M76" s="352">
        <f>IF(AD76="","",AD76)</f>
        <v>1</v>
      </c>
      <c r="N76" s="14">
        <f t="shared" si="56"/>
        <v>960</v>
      </c>
      <c r="O76" s="352">
        <f>IF(AF76="","",AF76)</f>
        <v>3</v>
      </c>
      <c r="R76" s="355" t="s">
        <v>11</v>
      </c>
      <c r="S76" s="68" t="str">
        <f>IF(T76=0,"",VLOOKUP(T76,Starter!$A$1:$D$196,2,FALSE))</f>
        <v>Wülfert, Frank</v>
      </c>
      <c r="T76" s="178">
        <v>7126</v>
      </c>
      <c r="U76" s="186">
        <v>198</v>
      </c>
      <c r="V76" s="95">
        <f>IF(SUM(U76:U78)+U88=0,0,IF(ABS(SUM(U76:U78))=U88,0.5,IF(ABS(SUM(U76:U78))&gt;U88,1,0)))</f>
        <v>1</v>
      </c>
      <c r="W76" s="186">
        <v>198</v>
      </c>
      <c r="X76" s="95">
        <f>IF(SUM(W76:W78)+W88=0,0,IF(ABS(SUM(W76:W78))=W88,0.5,IF(ABS(SUM(W76:W78))&gt;W88,1,0)))</f>
        <v>0</v>
      </c>
      <c r="Y76" s="186">
        <v>226</v>
      </c>
      <c r="Z76" s="95">
        <f>IF(SUM(Y76:Y78)+Y88=0,0,IF(ABS(SUM(Y76:Y78))=Y88,0.5,IF(ABS(SUM(Y76:Y78))&gt;Y88,1,0)))</f>
        <v>1</v>
      </c>
      <c r="AA76" s="186">
        <v>147</v>
      </c>
      <c r="AB76" s="95">
        <f>IF(SUM(AA76:AA78)+AA88=0,0,IF(ABS(SUM(AA76:AA78))=AA88,0.5,IF(ABS(SUM(AA76:AA78))&gt;AA88,1,0)))</f>
        <v>0</v>
      </c>
      <c r="AC76" s="186">
        <v>191</v>
      </c>
      <c r="AD76" s="95">
        <f>IF(SUM(AC76:AC78)+AC88=0,0,IF(ABS(SUM(AC76:AC78))=AC88,0.5,IF(ABS(SUM(AC76:AC78))&gt;AC88,1,0)))</f>
        <v>1</v>
      </c>
      <c r="AE76" s="195">
        <f t="shared" si="57"/>
        <v>960</v>
      </c>
      <c r="AF76" s="180">
        <f>SUM(V76+X76+Z76+AB76+AD76)</f>
        <v>3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58"/>
        <v>7126</v>
      </c>
      <c r="BE76" s="213">
        <f t="shared" si="59"/>
        <v>960</v>
      </c>
      <c r="BF76" s="215">
        <f t="shared" si="60"/>
        <v>5</v>
      </c>
      <c r="BG76" s="215">
        <f t="shared" si="61"/>
        <v>5</v>
      </c>
      <c r="BH76" s="215">
        <f t="shared" si="62"/>
        <v>198</v>
      </c>
      <c r="BI76" s="215">
        <f t="shared" si="63"/>
        <v>198</v>
      </c>
      <c r="BJ76" s="215">
        <f t="shared" si="64"/>
        <v>226</v>
      </c>
      <c r="BK76" s="215">
        <f t="shared" si="65"/>
        <v>147</v>
      </c>
      <c r="BL76" s="215">
        <f t="shared" si="66"/>
        <v>191</v>
      </c>
      <c r="BM76" s="216"/>
      <c r="BN76" s="214"/>
      <c r="BO76" s="215">
        <f t="shared" si="67"/>
        <v>226</v>
      </c>
      <c r="BP76" s="215">
        <f t="shared" si="68"/>
        <v>0</v>
      </c>
      <c r="BQ76" s="215" t="str">
        <f t="shared" si="74"/>
        <v>Kings Club Bayreuth Land 2</v>
      </c>
      <c r="BR76" s="214">
        <f t="shared" si="69"/>
        <v>2</v>
      </c>
      <c r="BS76" s="215">
        <f t="shared" si="70"/>
        <v>960</v>
      </c>
      <c r="BT76" s="215">
        <f>IF(COUNTIF(BH76:BL76,"&gt;0")&lt;Spielorte!$A$23,0,BE76/Spielorte!$A$23)</f>
        <v>192</v>
      </c>
      <c r="BU76" s="215">
        <f t="shared" si="71"/>
        <v>0</v>
      </c>
      <c r="BV76" s="214">
        <f t="shared" si="72"/>
        <v>0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3"/>
        <v/>
      </c>
      <c r="D77" s="15" t="str">
        <f t="shared" si="73"/>
        <v/>
      </c>
      <c r="E77" s="353"/>
      <c r="F77" s="15" t="str">
        <f t="shared" si="52"/>
        <v/>
      </c>
      <c r="G77" s="353"/>
      <c r="H77" s="15" t="str">
        <f t="shared" si="53"/>
        <v/>
      </c>
      <c r="I77" s="353"/>
      <c r="J77" s="15" t="str">
        <f t="shared" si="54"/>
        <v/>
      </c>
      <c r="K77" s="353"/>
      <c r="L77" s="15" t="str">
        <f t="shared" si="55"/>
        <v/>
      </c>
      <c r="M77" s="353"/>
      <c r="N77" s="15" t="str">
        <f t="shared" si="56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7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58"/>
        <v>0</v>
      </c>
      <c r="BE77" s="213">
        <f t="shared" si="59"/>
        <v>0</v>
      </c>
      <c r="BF77" s="215">
        <f t="shared" si="60"/>
        <v>0</v>
      </c>
      <c r="BG77" s="215">
        <f t="shared" si="61"/>
        <v>0</v>
      </c>
      <c r="BH77" s="215" t="str">
        <f t="shared" si="62"/>
        <v/>
      </c>
      <c r="BI77" s="215" t="str">
        <f t="shared" si="63"/>
        <v/>
      </c>
      <c r="BJ77" s="215" t="str">
        <f t="shared" si="64"/>
        <v/>
      </c>
      <c r="BK77" s="215" t="str">
        <f t="shared" si="65"/>
        <v/>
      </c>
      <c r="BL77" s="215" t="str">
        <f t="shared" si="66"/>
        <v/>
      </c>
      <c r="BM77" s="216"/>
      <c r="BN77" s="214"/>
      <c r="BO77" s="215">
        <f t="shared" si="67"/>
        <v>0</v>
      </c>
      <c r="BP77" s="215">
        <f t="shared" si="68"/>
        <v>0</v>
      </c>
      <c r="BQ77" s="215" t="str">
        <f t="shared" si="74"/>
        <v>Kings Club Bayreuth Land 2</v>
      </c>
      <c r="BR77" s="214">
        <f t="shared" si="69"/>
        <v>2</v>
      </c>
      <c r="BS77" s="215">
        <f t="shared" si="70"/>
        <v>0</v>
      </c>
      <c r="BT77" s="215">
        <f>IF(COUNTIF(BH77:BL77,"&gt;0")&lt;Spielorte!$A$23,0,BE77/Spielorte!$A$23)</f>
        <v>0</v>
      </c>
      <c r="BU77" s="215">
        <f t="shared" si="71"/>
        <v>0</v>
      </c>
      <c r="BV77" s="214">
        <f t="shared" si="72"/>
        <v>0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3"/>
        <v/>
      </c>
      <c r="D78" s="9" t="str">
        <f t="shared" si="73"/>
        <v/>
      </c>
      <c r="E78" s="354"/>
      <c r="F78" s="9" t="str">
        <f t="shared" si="52"/>
        <v/>
      </c>
      <c r="G78" s="354"/>
      <c r="H78" s="9" t="str">
        <f t="shared" si="53"/>
        <v/>
      </c>
      <c r="I78" s="354"/>
      <c r="J78" s="9" t="str">
        <f t="shared" si="54"/>
        <v/>
      </c>
      <c r="K78" s="354"/>
      <c r="L78" s="9" t="str">
        <f t="shared" si="55"/>
        <v/>
      </c>
      <c r="M78" s="354"/>
      <c r="N78" s="9" t="str">
        <f t="shared" si="56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7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58"/>
        <v>0</v>
      </c>
      <c r="BE78" s="213">
        <f t="shared" si="59"/>
        <v>0</v>
      </c>
      <c r="BF78" s="215">
        <f t="shared" si="60"/>
        <v>0</v>
      </c>
      <c r="BG78" s="215">
        <f t="shared" si="61"/>
        <v>0</v>
      </c>
      <c r="BH78" s="215" t="str">
        <f t="shared" si="62"/>
        <v/>
      </c>
      <c r="BI78" s="215" t="str">
        <f t="shared" si="63"/>
        <v/>
      </c>
      <c r="BJ78" s="215" t="str">
        <f t="shared" si="64"/>
        <v/>
      </c>
      <c r="BK78" s="215" t="str">
        <f t="shared" si="65"/>
        <v/>
      </c>
      <c r="BL78" s="215" t="str">
        <f t="shared" si="66"/>
        <v/>
      </c>
      <c r="BM78" s="216"/>
      <c r="BN78" s="214"/>
      <c r="BO78" s="215">
        <f t="shared" si="67"/>
        <v>0</v>
      </c>
      <c r="BP78" s="215">
        <f t="shared" si="68"/>
        <v>0</v>
      </c>
      <c r="BQ78" s="215" t="str">
        <f t="shared" si="74"/>
        <v>Kings Club Bayreuth Land 2</v>
      </c>
      <c r="BR78" s="214">
        <f t="shared" si="69"/>
        <v>2</v>
      </c>
      <c r="BS78" s="215">
        <f t="shared" si="70"/>
        <v>0</v>
      </c>
      <c r="BT78" s="215">
        <f>IF(COUNTIF(BH78:BL78,"&gt;0")&lt;Spielorte!$A$23,0,BE78/Spielorte!$A$23)</f>
        <v>0</v>
      </c>
      <c r="BU78" s="215">
        <f t="shared" si="71"/>
        <v>0</v>
      </c>
      <c r="BV78" s="214">
        <f t="shared" si="72"/>
        <v>0</v>
      </c>
    </row>
    <row r="79" spans="1:74" ht="27.75" customHeight="1" thickBot="1" x14ac:dyDescent="0.25">
      <c r="B79" s="11" t="str">
        <f>IF(S79=0,"",S79)</f>
        <v>Gesamt</v>
      </c>
      <c r="C79" s="26" t="str">
        <f t="shared" si="73"/>
        <v/>
      </c>
      <c r="D79" s="16">
        <f t="shared" si="73"/>
        <v>681</v>
      </c>
      <c r="E79" s="12">
        <f>IF(V79="","",V79)</f>
        <v>2</v>
      </c>
      <c r="F79" s="16">
        <f t="shared" si="52"/>
        <v>659</v>
      </c>
      <c r="G79" s="12">
        <f>IF(X79="","",X79)</f>
        <v>0</v>
      </c>
      <c r="H79" s="16">
        <f t="shared" si="53"/>
        <v>717</v>
      </c>
      <c r="I79" s="12">
        <f>IF(Z79="","",Z79)</f>
        <v>2</v>
      </c>
      <c r="J79" s="16">
        <f t="shared" si="54"/>
        <v>582</v>
      </c>
      <c r="K79" s="12">
        <f>IF(AB79="","",AB79)</f>
        <v>0</v>
      </c>
      <c r="L79" s="16">
        <f t="shared" si="55"/>
        <v>699</v>
      </c>
      <c r="M79" s="12">
        <f>IF(AD79="","",AD79)</f>
        <v>2</v>
      </c>
      <c r="N79" s="16">
        <f t="shared" si="56"/>
        <v>3338</v>
      </c>
      <c r="O79" s="12">
        <f>IF(AF79="","",AF79)</f>
        <v>6</v>
      </c>
      <c r="S79" s="11" t="s">
        <v>1791</v>
      </c>
      <c r="T79" s="71"/>
      <c r="U79" s="188">
        <f>ABS(SUM(U67:U69))+ABS(SUM(U70:U72))+ABS(SUM(U73:U75))+ABS(SUM(U76:U78))</f>
        <v>681</v>
      </c>
      <c r="V79" s="98">
        <f>IF(U79+U89=0,0,IF(U79=U89,1,IF(U79&gt;U89,2,0)))</f>
        <v>2</v>
      </c>
      <c r="W79" s="188">
        <f>ABS(SUM(W67:W69))+ABS(SUM(W70:W72))+ABS(SUM(W73:W75))+ABS(SUM(W76:W78))</f>
        <v>659</v>
      </c>
      <c r="X79" s="98">
        <f>IF(W79+W89=0,0,IF(W79=W89,1,IF(W79&gt;W89,2,0)))</f>
        <v>0</v>
      </c>
      <c r="Y79" s="188">
        <f>ABS(SUM(Y67:Y69))+ABS(SUM(Y70:Y72))+ABS(SUM(Y73:Y75))+ABS(SUM(Y76:Y78))</f>
        <v>717</v>
      </c>
      <c r="Z79" s="98">
        <f>IF(Y79+Y89=0,0,IF(Y79=Y89,1,IF(Y79&gt;Y89,2,0)))</f>
        <v>2</v>
      </c>
      <c r="AA79" s="188">
        <f>ABS(SUM(AA67:AA69))+ABS(SUM(AA70:AA72))+ABS(SUM(AA73:AA75))+ABS(SUM(AA76:AA78))</f>
        <v>582</v>
      </c>
      <c r="AB79" s="98">
        <f>IF(AA79+AA89=0,0,IF(AA79=AA89,1,IF(AA79&gt;AA89,2,0)))</f>
        <v>0</v>
      </c>
      <c r="AC79" s="188">
        <f>ABS(SUM(AC67:AC69))+ABS(SUM(AC70:AC72))+ABS(SUM(AC73:AC75))+ABS(SUM(AC76:AC78))</f>
        <v>699</v>
      </c>
      <c r="AD79" s="98">
        <f>IF(AC79+AC89=0,0,IF(AC79=AC89,1,IF(AC79&gt;AC89,2,0)))</f>
        <v>2</v>
      </c>
      <c r="AE79" s="198">
        <f>SUM(U79+W79+Y79+AA79+AC79)</f>
        <v>3338</v>
      </c>
      <c r="AF79" s="12">
        <f>SUM(V79+X79+Z79+AB79+AD79)</f>
        <v>6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3"/>
        <v/>
      </c>
      <c r="D80" s="1" t="str">
        <f t="shared" si="73"/>
        <v/>
      </c>
      <c r="E80" s="23">
        <f>IF(V80="","",V80)</f>
        <v>3</v>
      </c>
      <c r="F80" s="1" t="str">
        <f t="shared" si="52"/>
        <v/>
      </c>
      <c r="G80" s="23">
        <f>IF(X80="","",X80)</f>
        <v>0.5</v>
      </c>
      <c r="H80" s="1" t="str">
        <f t="shared" si="53"/>
        <v/>
      </c>
      <c r="I80" s="23">
        <f>IF(Z80="","",Z80)</f>
        <v>5</v>
      </c>
      <c r="J80" s="1" t="str">
        <f t="shared" si="54"/>
        <v/>
      </c>
      <c r="K80" s="23">
        <f>IF(AB80="","",AB80)</f>
        <v>1</v>
      </c>
      <c r="L80" s="1" t="str">
        <f t="shared" si="55"/>
        <v/>
      </c>
      <c r="M80" s="23">
        <f>IF(AD80="","",AD80)</f>
        <v>4</v>
      </c>
      <c r="N80" s="1" t="str">
        <f t="shared" si="56"/>
        <v/>
      </c>
      <c r="O80" s="23">
        <f>IF(AF80="","",AF80)</f>
        <v>13.5</v>
      </c>
      <c r="S80" s="8" t="s">
        <v>1802</v>
      </c>
      <c r="T80" s="1"/>
      <c r="U80" s="1"/>
      <c r="V80" s="72">
        <f>SUM(V67:V79)</f>
        <v>3</v>
      </c>
      <c r="W80" s="1"/>
      <c r="X80" s="72">
        <f>SUM(X67:X79)</f>
        <v>0.5</v>
      </c>
      <c r="Y80" s="1"/>
      <c r="Z80" s="72">
        <f>SUM(Z67:Z79)</f>
        <v>5</v>
      </c>
      <c r="AA80" s="1"/>
      <c r="AB80" s="72">
        <f>SUM(AB67:AB79)</f>
        <v>1</v>
      </c>
      <c r="AC80" s="1"/>
      <c r="AD80" s="72">
        <f>SUM(AD67:AD79)</f>
        <v>4</v>
      </c>
      <c r="AE80" s="1"/>
      <c r="AF80" s="72">
        <f>SUM(AF67:AF79)</f>
        <v>13.5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13.5</v>
      </c>
      <c r="BB80" s="213">
        <f>AE79</f>
        <v>3338</v>
      </c>
      <c r="BC80" s="214">
        <f>+S62</f>
        <v>3</v>
      </c>
      <c r="BF80" s="215">
        <f>SUM(BF61:BF79)</f>
        <v>20</v>
      </c>
      <c r="BM80" s="212">
        <f>+BB80/1000000+BA80</f>
        <v>13.503337999999999</v>
      </c>
      <c r="BN80" s="214">
        <f>RANK(BM80,BM:BM)</f>
        <v>3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M82" si="75">IF(S82=0,"",S82)</f>
        <v>Gegner-Nr.:</v>
      </c>
      <c r="C82" s="5" t="str">
        <f t="shared" si="75"/>
        <v>&gt;&gt;&gt;&gt;</v>
      </c>
      <c r="D82" s="350">
        <f t="shared" si="75"/>
        <v>6</v>
      </c>
      <c r="E82" s="350" t="str">
        <f t="shared" si="75"/>
        <v/>
      </c>
      <c r="F82" s="350">
        <f t="shared" si="75"/>
        <v>5</v>
      </c>
      <c r="G82" s="350" t="str">
        <f t="shared" si="75"/>
        <v/>
      </c>
      <c r="H82" s="350">
        <f t="shared" si="75"/>
        <v>1</v>
      </c>
      <c r="I82" s="350" t="str">
        <f t="shared" si="75"/>
        <v/>
      </c>
      <c r="J82" s="350">
        <f t="shared" si="75"/>
        <v>2</v>
      </c>
      <c r="K82" s="350" t="str">
        <f t="shared" si="75"/>
        <v/>
      </c>
      <c r="L82" s="350">
        <f t="shared" si="75"/>
        <v>4</v>
      </c>
      <c r="M82" s="350" t="str">
        <f t="shared" si="75"/>
        <v/>
      </c>
      <c r="N82" s="351"/>
      <c r="O82" s="351"/>
      <c r="S82" s="13" t="s">
        <v>1789</v>
      </c>
      <c r="T82" s="5" t="s">
        <v>1790</v>
      </c>
      <c r="U82" s="369">
        <f>VLOOKUP($S62,Schlüssel!$A$5:$DG$10,83)</f>
        <v>6</v>
      </c>
      <c r="V82" s="370"/>
      <c r="W82" s="369">
        <f>VLOOKUP($S62,Schlüssel!$A$5:$EK$10,84)</f>
        <v>5</v>
      </c>
      <c r="X82" s="370"/>
      <c r="Y82" s="369">
        <f>VLOOKUP($S62,Schlüssel!$A$5:$EK$10,85)</f>
        <v>1</v>
      </c>
      <c r="Z82" s="370"/>
      <c r="AA82" s="369">
        <f>VLOOKUP($S62,Schlüssel!$A$5:$EK$10,86)</f>
        <v>2</v>
      </c>
      <c r="AB82" s="370"/>
      <c r="AC82" s="369">
        <f>VLOOKUP($S62,Schlüssel!$A$5:$EK$10,87)</f>
        <v>4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ref="B83:K84" si="76">IF(S83=0,"",S83)</f>
        <v/>
      </c>
      <c r="C83" s="1" t="str">
        <f t="shared" si="76"/>
        <v/>
      </c>
      <c r="D83" s="347" t="str">
        <f t="shared" si="76"/>
        <v>Adler Nürnberg 1</v>
      </c>
      <c r="E83" s="348" t="str">
        <f t="shared" si="76"/>
        <v/>
      </c>
      <c r="F83" s="347" t="str">
        <f t="shared" si="76"/>
        <v>Castra Regina Regensburg 2</v>
      </c>
      <c r="G83" s="348" t="str">
        <f t="shared" si="76"/>
        <v/>
      </c>
      <c r="H83" s="347" t="str">
        <f t="shared" si="76"/>
        <v>Castra Regina Regensburg 3</v>
      </c>
      <c r="I83" s="348" t="str">
        <f t="shared" si="76"/>
        <v/>
      </c>
      <c r="J83" s="347" t="str">
        <f t="shared" si="76"/>
        <v>Herzogenaurach 1</v>
      </c>
      <c r="K83" s="348" t="str">
        <f t="shared" si="76"/>
        <v/>
      </c>
      <c r="L83" s="347" t="str">
        <f>IF(AC83=0,"",AC83)</f>
        <v>Kings Club Bayreuth Land 3</v>
      </c>
      <c r="M83" s="348" t="str">
        <f>IF(AD83=0,"",AD83)</f>
        <v/>
      </c>
      <c r="N83" s="349"/>
      <c r="O83" s="349"/>
      <c r="S83" s="4"/>
      <c r="T83" s="1"/>
      <c r="U83" s="347" t="str">
        <f>VLOOKUP(U82,Schlüssel!$A$5:$K$10,2)</f>
        <v>Adler Nürnberg 1</v>
      </c>
      <c r="V83" s="348"/>
      <c r="W83" s="347" t="str">
        <f>VLOOKUP(W82,Schlüssel!$A$5:$K$10,2)</f>
        <v>Castra Regina Regensburg 2</v>
      </c>
      <c r="X83" s="348"/>
      <c r="Y83" s="347" t="str">
        <f>VLOOKUP(Y82,Schlüssel!$A$5:$K$10,2)</f>
        <v>Castra Regina Regensburg 3</v>
      </c>
      <c r="Z83" s="348"/>
      <c r="AA83" s="347" t="str">
        <f>VLOOKUP(AA82,Schlüssel!$A$5:$K$10,2)</f>
        <v>Herzogenaurach 1</v>
      </c>
      <c r="AB83" s="348"/>
      <c r="AC83" s="347" t="str">
        <f>VLOOKUP(AC82,Schlüssel!$A$5:$K$10,2)</f>
        <v>Kings Club Bayreuth Land 3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6"/>
        <v/>
      </c>
      <c r="C84" s="1" t="str">
        <f t="shared" si="76"/>
        <v/>
      </c>
      <c r="D84" s="346" t="str">
        <f t="shared" si="76"/>
        <v/>
      </c>
      <c r="E84" s="346" t="str">
        <f t="shared" si="76"/>
        <v/>
      </c>
      <c r="F84" s="346" t="str">
        <f t="shared" si="76"/>
        <v/>
      </c>
      <c r="G84" s="346" t="str">
        <f t="shared" si="76"/>
        <v/>
      </c>
      <c r="H84" s="346" t="str">
        <f t="shared" si="76"/>
        <v/>
      </c>
      <c r="I84" s="346" t="str">
        <f t="shared" si="76"/>
        <v/>
      </c>
      <c r="J84" s="346" t="str">
        <f t="shared" si="76"/>
        <v/>
      </c>
      <c r="K84" s="346" t="str">
        <f t="shared" si="76"/>
        <v/>
      </c>
      <c r="L84" s="346" t="str">
        <f>IF(AC84=0,"",AC84)</f>
        <v/>
      </c>
      <c r="M84" s="346" t="str">
        <f>IF(AD84=0,"",AD84)</f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ref="B85:C89" si="77">IF(S85=0,"",S85)</f>
        <v>Spieler 1</v>
      </c>
      <c r="C85" s="372" t="str">
        <f t="shared" si="77"/>
        <v/>
      </c>
      <c r="D85" s="344">
        <f>IF(U85=301,"",U85)</f>
        <v>188</v>
      </c>
      <c r="E85" s="344" t="str">
        <f>IF(V85=0,"",V85)</f>
        <v/>
      </c>
      <c r="F85" s="344">
        <f>IF(W85=301,"",W85)</f>
        <v>161</v>
      </c>
      <c r="G85" s="344" t="str">
        <f>IF(X85=0,"",X85)</f>
        <v/>
      </c>
      <c r="H85" s="344">
        <f>IF(Y85=301,"",Y85)</f>
        <v>128</v>
      </c>
      <c r="I85" s="344" t="str">
        <f>IF(Z85=0,"",Z85)</f>
        <v/>
      </c>
      <c r="J85" s="344">
        <f>IF(AA85=301,"",AA85)</f>
        <v>186</v>
      </c>
      <c r="K85" s="344" t="str">
        <f>IF(AB85=0,"",AB85)</f>
        <v/>
      </c>
      <c r="L85" s="344">
        <f>IF(AC85=301,"",AC85)</f>
        <v>205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188</v>
      </c>
      <c r="V85" s="368"/>
      <c r="W85" s="367">
        <f>ABS(INDEX(W:W,MATCH(W82,$S:$S,0)+5)+INDEX(W:W,MATCH(W82,$S:$S,0)+6)+INDEX(W:W,MATCH(W82,$S:$S,0)+7))</f>
        <v>161</v>
      </c>
      <c r="X85" s="368"/>
      <c r="Y85" s="367">
        <f>ABS(INDEX(Y:Y,MATCH(Y82,$S:$S,0)+5)+INDEX(Y:Y,MATCH(Y82,$S:$S,0)+6)+INDEX(Y:Y,MATCH(Y82,$S:$S,0)+7))</f>
        <v>128</v>
      </c>
      <c r="Z85" s="368"/>
      <c r="AA85" s="367">
        <f>ABS(INDEX(AA:AA,MATCH(AA82,$S:$S,0)+5)+INDEX(AA:AA,MATCH(AA82,$S:$S,0)+6)+INDEX(AA:AA,MATCH(AA82,$S:$S,0)+7))</f>
        <v>186</v>
      </c>
      <c r="AB85" s="368"/>
      <c r="AC85" s="367">
        <f>ABS(INDEX(AC:AC,MATCH(AC82,$S:$S,0)+5)+INDEX(AC:AC,MATCH(AC82,$S:$S,0)+6)+INDEX(AC:AC,MATCH(AC82,$S:$S,0)+7))</f>
        <v>205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7"/>
        <v>Spieler 2</v>
      </c>
      <c r="C86" s="372" t="str">
        <f t="shared" si="77"/>
        <v/>
      </c>
      <c r="D86" s="344">
        <f>IF(U86=301,"",U86)</f>
        <v>187</v>
      </c>
      <c r="E86" s="344" t="str">
        <f>IF(V86=0,"",V86)</f>
        <v/>
      </c>
      <c r="F86" s="344">
        <f>IF(W86=301,"",W86)</f>
        <v>202</v>
      </c>
      <c r="G86" s="344" t="str">
        <f>IF(X86=0,"",X86)</f>
        <v/>
      </c>
      <c r="H86" s="344">
        <f>IF(Y86=301,"",Y86)</f>
        <v>178</v>
      </c>
      <c r="I86" s="344" t="str">
        <f>IF(Z86=0,"",Z86)</f>
        <v/>
      </c>
      <c r="J86" s="344">
        <f>IF(AA86=301,"",AA86)</f>
        <v>177</v>
      </c>
      <c r="K86" s="344" t="str">
        <f>IF(AB86=0,"",AB86)</f>
        <v/>
      </c>
      <c r="L86" s="344">
        <f>IF(AC86=301,"",AC86)</f>
        <v>157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187</v>
      </c>
      <c r="V86" s="366"/>
      <c r="W86" s="365">
        <f>ABS(INDEX(W:W,MATCH(W82,$S:$S,0)+8)+INDEX(W:W,MATCH(W82,$S:$S,0)+9)+INDEX(W:W,MATCH(W82,$S:$S,0)+10))</f>
        <v>202</v>
      </c>
      <c r="X86" s="366"/>
      <c r="Y86" s="365">
        <f>ABS(INDEX(Y:Y,MATCH(Y82,$S:$S,0)+8)+INDEX(Y:Y,MATCH(Y82,$S:$S,0)+9)+INDEX(Y:Y,MATCH(Y82,$S:$S,0)+10))</f>
        <v>178</v>
      </c>
      <c r="Z86" s="366"/>
      <c r="AA86" s="365">
        <f>ABS(INDEX(AA:AA,MATCH(AA82,$S:$S,0)+8)+INDEX(AA:AA,MATCH(AA82,$S:$S,0)+9)+INDEX(AA:AA,MATCH(AA82,$S:$S,0)+10))</f>
        <v>177</v>
      </c>
      <c r="AB86" s="366"/>
      <c r="AC86" s="365">
        <f>ABS(INDEX(AC:AC,MATCH(AC82,$S:$S,0)+8)+INDEX(AC:AC,MATCH(AC82,$S:$S,0)+9)+INDEX(AC:AC,MATCH(AC82,$S:$S,0)+10))</f>
        <v>157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7"/>
        <v>Spieler 3</v>
      </c>
      <c r="C87" s="372" t="str">
        <f t="shared" si="77"/>
        <v/>
      </c>
      <c r="D87" s="344">
        <f>IF(U87=301,"",U87)</f>
        <v>159</v>
      </c>
      <c r="E87" s="344" t="str">
        <f>IF(V87=0,"",V87)</f>
        <v/>
      </c>
      <c r="F87" s="344">
        <f>IF(W87=301,"",W87)</f>
        <v>182</v>
      </c>
      <c r="G87" s="344" t="str">
        <f>IF(X87=0,"",X87)</f>
        <v/>
      </c>
      <c r="H87" s="344">
        <f>IF(Y87=301,"",Y87)</f>
        <v>155</v>
      </c>
      <c r="I87" s="344" t="str">
        <f>IF(Z87=0,"",Z87)</f>
        <v/>
      </c>
      <c r="J87" s="344">
        <f>IF(AA87=301,"",AA87)</f>
        <v>180</v>
      </c>
      <c r="K87" s="344" t="str">
        <f>IF(AB87=0,"",AB87)</f>
        <v/>
      </c>
      <c r="L87" s="344">
        <f>IF(AC87=301,"",AC87)</f>
        <v>166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159</v>
      </c>
      <c r="V87" s="366"/>
      <c r="W87" s="365">
        <f>ABS(INDEX(W:W,MATCH(W82,$S:$S,0)+11)+INDEX(W:W,MATCH(W82,$S:$S,0)+12)+INDEX(W:W,MATCH(W82,$S:$S,0)+13))</f>
        <v>182</v>
      </c>
      <c r="X87" s="366"/>
      <c r="Y87" s="365">
        <f>ABS(INDEX(Y:Y,MATCH(Y82,$S:$S,0)+11)+INDEX(Y:Y,MATCH(Y82,$S:$S,0)+12)+INDEX(Y:Y,MATCH(Y82,$S:$S,0)+13))</f>
        <v>155</v>
      </c>
      <c r="Z87" s="366"/>
      <c r="AA87" s="365">
        <f>ABS(INDEX(AA:AA,MATCH(AA82,$S:$S,0)+11)+INDEX(AA:AA,MATCH(AA82,$S:$S,0)+12)+INDEX(AA:AA,MATCH(AA82,$S:$S,0)+13))</f>
        <v>180</v>
      </c>
      <c r="AB87" s="366"/>
      <c r="AC87" s="365">
        <f>ABS(INDEX(AC:AC,MATCH(AC82,$S:$S,0)+11)+INDEX(AC:AC,MATCH(AC82,$S:$S,0)+12)+INDEX(AC:AC,MATCH(AC82,$S:$S,0)+13))</f>
        <v>166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7"/>
        <v>Spieler 4</v>
      </c>
      <c r="C88" s="372" t="str">
        <f t="shared" si="77"/>
        <v/>
      </c>
      <c r="D88" s="344">
        <f>IF(U88=301,"",U88)</f>
        <v>146</v>
      </c>
      <c r="E88" s="344" t="str">
        <f>IF(V88=0,"",V88)</f>
        <v/>
      </c>
      <c r="F88" s="344">
        <f>IF(W88=301,"",W88)</f>
        <v>199</v>
      </c>
      <c r="G88" s="344" t="str">
        <f>IF(X88=0,"",X88)</f>
        <v/>
      </c>
      <c r="H88" s="344">
        <f>IF(Y88=301,"",Y88)</f>
        <v>171</v>
      </c>
      <c r="I88" s="344" t="str">
        <f>IF(Z88=0,"",Z88)</f>
        <v/>
      </c>
      <c r="J88" s="344">
        <f>IF(AA88=301,"",AA88)</f>
        <v>211</v>
      </c>
      <c r="K88" s="344" t="str">
        <f>IF(AB88=0,"",AB88)</f>
        <v/>
      </c>
      <c r="L88" s="344">
        <f>IF(AC88=301,"",AC88)</f>
        <v>169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146</v>
      </c>
      <c r="V88" s="366"/>
      <c r="W88" s="365">
        <f>ABS(INDEX(W:W,MATCH(W82,$S:$S,0)+14)+INDEX(W:W,MATCH(W82,$S:$S,0)+15)+INDEX(W:W,MATCH(W82,$S:$S,0)+16))</f>
        <v>199</v>
      </c>
      <c r="X88" s="366"/>
      <c r="Y88" s="365">
        <f>ABS(INDEX(Y:Y,MATCH(Y82,$S:$S,0)+14)+INDEX(Y:Y,MATCH(Y82,$S:$S,0)+15)+INDEX(Y:Y,MATCH(Y82,$S:$S,0)+16))</f>
        <v>171</v>
      </c>
      <c r="Z88" s="366"/>
      <c r="AA88" s="365">
        <f>ABS(INDEX(AA:AA,MATCH(AA82,$S:$S,0)+14)+INDEX(AA:AA,MATCH(AA82,$S:$S,0)+15)+INDEX(AA:AA,MATCH(AA82,$S:$S,0)+16))</f>
        <v>211</v>
      </c>
      <c r="AB88" s="366"/>
      <c r="AC88" s="365">
        <f>ABS(INDEX(AC:AC,MATCH(AC82,$S:$S,0)+14)+INDEX(AC:AC,MATCH(AC82,$S:$S,0)+15)+INDEX(AC:AC,MATCH(AC82,$S:$S,0)+16))</f>
        <v>169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7"/>
        <v>Gesamt</v>
      </c>
      <c r="C89" s="360" t="str">
        <f t="shared" si="77"/>
        <v/>
      </c>
      <c r="D89" s="343">
        <f>IF(U89=1505,"",U89)</f>
        <v>680</v>
      </c>
      <c r="E89" s="343" t="str">
        <f>IF(V89=0,"",V89)</f>
        <v/>
      </c>
      <c r="F89" s="343">
        <f>IF(W89=1505,"",W89)</f>
        <v>744</v>
      </c>
      <c r="G89" s="343" t="str">
        <f>IF(X89=0,"",X89)</f>
        <v/>
      </c>
      <c r="H89" s="343">
        <f>IF(Y89=1505,"",Y89)</f>
        <v>632</v>
      </c>
      <c r="I89" s="343" t="str">
        <f>IF(Z89=0,"",Z89)</f>
        <v/>
      </c>
      <c r="J89" s="343">
        <f>IF(AA89=1505,"",AA89)</f>
        <v>754</v>
      </c>
      <c r="K89" s="343" t="str">
        <f>IF(AB89=0,"",AB89)</f>
        <v/>
      </c>
      <c r="L89" s="343">
        <f>IF(AC89=1505,"",AC89)</f>
        <v>697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680</v>
      </c>
      <c r="V89" s="360"/>
      <c r="W89" s="359">
        <f>SUM(W85:W88)</f>
        <v>744</v>
      </c>
      <c r="X89" s="360"/>
      <c r="Y89" s="359">
        <f>SUM(Y85:Y88)</f>
        <v>632</v>
      </c>
      <c r="Z89" s="360"/>
      <c r="AA89" s="359">
        <f>SUM(AA85:AA88)</f>
        <v>754</v>
      </c>
      <c r="AB89" s="360"/>
      <c r="AC89" s="359">
        <f>SUM(AC85:AC88)</f>
        <v>697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/>
      <c r="N91" s="376" t="str">
        <f>AD91</f>
        <v>13.04.</v>
      </c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Schlüssel!$CO$1</f>
        <v>13.04.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">
        <v>1786</v>
      </c>
      <c r="E92" s="84" t="str">
        <f>V92</f>
        <v>Nürnberg West Bowling</v>
      </c>
      <c r="F92" s="77"/>
      <c r="G92" s="77"/>
      <c r="H92" s="77"/>
      <c r="I92" s="77"/>
      <c r="J92" s="77"/>
      <c r="K92" s="77"/>
      <c r="L92" s="29" t="s">
        <v>1784</v>
      </c>
      <c r="M92" s="86">
        <v>5</v>
      </c>
      <c r="N92" s="28"/>
      <c r="R92" s="49"/>
      <c r="S92" s="50">
        <v>4</v>
      </c>
      <c r="U92" s="30" t="s">
        <v>1786</v>
      </c>
      <c r="V92" s="84" t="str">
        <f>Schlüssel!$CE$2</f>
        <v>Nürnberg West Bowling</v>
      </c>
      <c r="X92" s="77"/>
      <c r="Y92" s="77"/>
      <c r="Z92" s="77"/>
      <c r="AA92" s="77"/>
      <c r="AB92" s="77"/>
      <c r="AC92" s="29" t="s">
        <v>1784</v>
      </c>
      <c r="AD92" s="34">
        <v>5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VLOOKUP(S92,Schlüssel!$A$5:$DZ$10,93)</f>
        <v>3</v>
      </c>
      <c r="W94" s="193" t="s">
        <v>10</v>
      </c>
      <c r="X94" s="191">
        <f>VLOOKUP(S92,Schlüssel!$A$5:$DZ$10,94)</f>
        <v>7</v>
      </c>
      <c r="Y94" s="193" t="s">
        <v>10</v>
      </c>
      <c r="Z94" s="191">
        <f>VLOOKUP(S92,Schlüssel!$A$5:$DZ$10,95)</f>
        <v>4</v>
      </c>
      <c r="AA94" s="193" t="s">
        <v>10</v>
      </c>
      <c r="AB94" s="191">
        <f>VLOOKUP(S92,Schlüssel!$A$5:$DZ$10,96)</f>
        <v>6</v>
      </c>
      <c r="AC94" s="193" t="s">
        <v>10</v>
      </c>
      <c r="AD94" s="192">
        <f>VLOOKUP(S92,Schlüssel!$A$5:$DZ$10,97)</f>
        <v>8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>Sommerer, Stefan</v>
      </c>
      <c r="C97" s="18">
        <f>IF(T97=0,"",T97)</f>
        <v>38823</v>
      </c>
      <c r="D97" s="14">
        <f>IF(U97=0,"",U97)</f>
        <v>165</v>
      </c>
      <c r="E97" s="352">
        <f>IF(V97="","",V97)</f>
        <v>0</v>
      </c>
      <c r="F97" s="14">
        <f t="shared" ref="F97:F110" si="78">IF(W97=0,"",W97)</f>
        <v>182</v>
      </c>
      <c r="G97" s="352">
        <f>IF(X97="","",X97)</f>
        <v>0</v>
      </c>
      <c r="H97" s="14">
        <f t="shared" ref="H97:H110" si="79">IF(Y97=0,"",Y97)</f>
        <v>151</v>
      </c>
      <c r="I97" s="352">
        <f>IF(Z97="","",Z97)</f>
        <v>1</v>
      </c>
      <c r="J97" s="14">
        <f t="shared" ref="J97:J110" si="80">IF(AA97=0,"",AA97)</f>
        <v>159</v>
      </c>
      <c r="K97" s="352">
        <f>IF(AB97="","",AB97)</f>
        <v>0</v>
      </c>
      <c r="L97" s="14">
        <f t="shared" ref="L97:L110" si="81">IF(AC97=0,"",AC97)</f>
        <v>205</v>
      </c>
      <c r="M97" s="352">
        <f>IF(AD97="","",AD97)</f>
        <v>1</v>
      </c>
      <c r="N97" s="14">
        <f t="shared" ref="N97:N110" si="82">IF(AE97=0,"",AE97)</f>
        <v>862</v>
      </c>
      <c r="O97" s="352">
        <f>IF(AF97="","",AF97)</f>
        <v>2</v>
      </c>
      <c r="R97" s="355" t="s">
        <v>0</v>
      </c>
      <c r="S97" s="68" t="str">
        <f>IF(T97=0,"",VLOOKUP(T97,Starter!$A$1:$D$196,2,FALSE))</f>
        <v>Sommerer, Stefan</v>
      </c>
      <c r="T97" s="175">
        <v>38823</v>
      </c>
      <c r="U97" s="183">
        <v>165</v>
      </c>
      <c r="V97" s="95">
        <f>IF(SUM(U97:U99)+U115=0,0,IF(ABS(SUM(U97:U99))=U115,0.5,IF(ABS(SUM(U97:U99))&gt;U115,1,0)))</f>
        <v>0</v>
      </c>
      <c r="W97" s="183">
        <v>182</v>
      </c>
      <c r="X97" s="95">
        <f>IF(SUM(W97:W99)+W115=0,0,IF(ABS(SUM(W97:W99))=W115,0.5,IF(ABS(SUM(W97:W99))&gt;W115,1,0)))</f>
        <v>0</v>
      </c>
      <c r="Y97" s="183">
        <v>151</v>
      </c>
      <c r="Z97" s="95">
        <f>IF(SUM(Y97:Y99)+Y115=0,0,IF(ABS(SUM(Y97:Y99))=Y115,0.5,IF(ABS(SUM(Y97:Y99))&gt;Y115,1,0)))</f>
        <v>1</v>
      </c>
      <c r="AA97" s="189">
        <v>159</v>
      </c>
      <c r="AB97" s="95">
        <f>IF(SUM(AA97:AA99)+AA115=0,0,IF(ABS(SUM(AA97:AA99))=AA115,0.5,IF(ABS(SUM(AA97:AA99))&gt;AA115,1,0)))</f>
        <v>0</v>
      </c>
      <c r="AC97" s="183">
        <v>205</v>
      </c>
      <c r="AD97" s="95">
        <f>IF(SUM(AC97:AC99)+AC115=0,0,IF(ABS(SUM(AC97:AC99))=AC115,0.5,IF(ABS(SUM(AC97:AC99))&gt;AC115,1,0)))</f>
        <v>1</v>
      </c>
      <c r="AE97" s="195">
        <f t="shared" ref="AE97:AE108" si="83">ABS(SUM(U97:U97))+ABS(SUM(W97:W97))+ABS(SUM(Y97:Y97))+ABS(SUM(AA97:AA97))+ABS(SUM(AC97:AC97))</f>
        <v>862</v>
      </c>
      <c r="AF97" s="180">
        <f>SUM(V97+X97+Z97+AB97+AD97)</f>
        <v>2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4">T97</f>
        <v>38823</v>
      </c>
      <c r="BE97" s="213">
        <f t="shared" ref="BE97:BE108" si="85">AE97</f>
        <v>862</v>
      </c>
      <c r="BF97" s="215">
        <f t="shared" ref="BF97:BF108" si="86">COUNT(BH97:BL97)</f>
        <v>5</v>
      </c>
      <c r="BG97" s="215">
        <f t="shared" ref="BG97:BG108" si="87">COUNTIF(BH97:BL97,"&gt;0")</f>
        <v>5</v>
      </c>
      <c r="BH97" s="215">
        <f t="shared" ref="BH97:BH108" si="88">IF(U97=0,"",U97)</f>
        <v>165</v>
      </c>
      <c r="BI97" s="215">
        <f t="shared" ref="BI97:BI108" si="89">IF(W97=0,"",W97)</f>
        <v>182</v>
      </c>
      <c r="BJ97" s="215">
        <f t="shared" ref="BJ97:BJ108" si="90">IF(Y97=0,"",Y97)</f>
        <v>151</v>
      </c>
      <c r="BK97" s="215">
        <f t="shared" ref="BK97:BK108" si="91">IF(AA97=0,"",AA97)</f>
        <v>159</v>
      </c>
      <c r="BL97" s="215">
        <f t="shared" ref="BL97:BL108" si="92">IF(AC97=0,"",AC97)</f>
        <v>205</v>
      </c>
      <c r="BM97" s="216"/>
      <c r="BN97" s="214"/>
      <c r="BO97" s="215">
        <f t="shared" ref="BO97:BO108" si="93">MAX(BH97:BL97)</f>
        <v>205</v>
      </c>
      <c r="BP97" s="215">
        <f t="shared" ref="BP97:BP108" si="94">IF(BO97&lt;MAX(BO:BO),0,BO97+ROW()/1000000000)</f>
        <v>0</v>
      </c>
      <c r="BQ97" s="215" t="str">
        <f>+S93</f>
        <v>Kings Club Bayreuth Land 3</v>
      </c>
      <c r="BR97" s="214">
        <f t="shared" ref="BR97:BR108" si="95">RANK(BP97,BP:BP)</f>
        <v>2</v>
      </c>
      <c r="BS97" s="215">
        <f t="shared" ref="BS97:BS108" si="96">SUMIF(BH97:BL97,"&gt;0")</f>
        <v>862</v>
      </c>
      <c r="BT97" s="215">
        <f>IF(COUNTIF(BH97:BL97,"&gt;0")&lt;Spielorte!$A$23,0,BE97/Spielorte!$A$23)</f>
        <v>172.4</v>
      </c>
      <c r="BU97" s="215">
        <f t="shared" ref="BU97:BU108" si="97">IF(BT97&lt;MAX(BT:BT),0,BT97+ROW()/1000000000)</f>
        <v>0</v>
      </c>
      <c r="BV97" s="214">
        <f t="shared" ref="BV97:BV108" si="98">IF(BU97=0,0,RANK(BU97,BU:BU))</f>
        <v>0</v>
      </c>
    </row>
    <row r="98" spans="1:74" ht="17.100000000000001" customHeight="1" x14ac:dyDescent="0.2">
      <c r="A98" s="374"/>
      <c r="B98" s="19" t="str">
        <f t="shared" ref="B98:D110" si="99">IF(S98=0,"",S98)</f>
        <v/>
      </c>
      <c r="C98" s="20" t="str">
        <f t="shared" si="99"/>
        <v/>
      </c>
      <c r="D98" s="15" t="str">
        <f t="shared" si="99"/>
        <v/>
      </c>
      <c r="E98" s="353"/>
      <c r="F98" s="15" t="str">
        <f t="shared" si="78"/>
        <v/>
      </c>
      <c r="G98" s="353"/>
      <c r="H98" s="15" t="str">
        <f t="shared" si="79"/>
        <v/>
      </c>
      <c r="I98" s="353"/>
      <c r="J98" s="15" t="str">
        <f t="shared" si="80"/>
        <v/>
      </c>
      <c r="K98" s="353"/>
      <c r="L98" s="15" t="str">
        <f t="shared" si="81"/>
        <v/>
      </c>
      <c r="M98" s="353"/>
      <c r="N98" s="15" t="str">
        <f t="shared" si="82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3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4"/>
        <v>0</v>
      </c>
      <c r="BE98" s="213">
        <f t="shared" si="85"/>
        <v>0</v>
      </c>
      <c r="BF98" s="215">
        <f t="shared" si="86"/>
        <v>0</v>
      </c>
      <c r="BG98" s="215">
        <f t="shared" si="87"/>
        <v>0</v>
      </c>
      <c r="BH98" s="215" t="str">
        <f t="shared" si="88"/>
        <v/>
      </c>
      <c r="BI98" s="215" t="str">
        <f t="shared" si="89"/>
        <v/>
      </c>
      <c r="BJ98" s="215" t="str">
        <f t="shared" si="90"/>
        <v/>
      </c>
      <c r="BK98" s="215" t="str">
        <f t="shared" si="91"/>
        <v/>
      </c>
      <c r="BL98" s="215" t="str">
        <f t="shared" si="92"/>
        <v/>
      </c>
      <c r="BM98" s="216"/>
      <c r="BN98" s="214"/>
      <c r="BO98" s="215">
        <f t="shared" si="93"/>
        <v>0</v>
      </c>
      <c r="BP98" s="215">
        <f t="shared" si="94"/>
        <v>0</v>
      </c>
      <c r="BQ98" s="215" t="str">
        <f t="shared" ref="BQ98:BQ108" si="100">+BQ97</f>
        <v>Kings Club Bayreuth Land 3</v>
      </c>
      <c r="BR98" s="214">
        <f t="shared" si="95"/>
        <v>2</v>
      </c>
      <c r="BS98" s="215">
        <f t="shared" si="96"/>
        <v>0</v>
      </c>
      <c r="BT98" s="215">
        <f>IF(COUNTIF(BH98:BL98,"&gt;0")&lt;Spielorte!$A$23,0,BE98/Spielorte!$A$23)</f>
        <v>0</v>
      </c>
      <c r="BU98" s="215">
        <f t="shared" si="97"/>
        <v>0</v>
      </c>
      <c r="BV98" s="214">
        <f t="shared" si="98"/>
        <v>0</v>
      </c>
    </row>
    <row r="99" spans="1:74" ht="17.100000000000001" customHeight="1" thickBot="1" x14ac:dyDescent="0.25">
      <c r="A99" s="375"/>
      <c r="B99" s="21" t="str">
        <f t="shared" si="99"/>
        <v/>
      </c>
      <c r="C99" s="22" t="str">
        <f t="shared" si="99"/>
        <v/>
      </c>
      <c r="D99" s="9" t="str">
        <f t="shared" si="99"/>
        <v/>
      </c>
      <c r="E99" s="354"/>
      <c r="F99" s="9" t="str">
        <f t="shared" si="78"/>
        <v/>
      </c>
      <c r="G99" s="354"/>
      <c r="H99" s="9" t="str">
        <f t="shared" si="79"/>
        <v/>
      </c>
      <c r="I99" s="354"/>
      <c r="J99" s="9" t="str">
        <f t="shared" si="80"/>
        <v/>
      </c>
      <c r="K99" s="354"/>
      <c r="L99" s="9" t="str">
        <f t="shared" si="81"/>
        <v/>
      </c>
      <c r="M99" s="354"/>
      <c r="N99" s="9" t="str">
        <f t="shared" si="82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3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4"/>
        <v>0</v>
      </c>
      <c r="BE99" s="213">
        <f t="shared" si="85"/>
        <v>0</v>
      </c>
      <c r="BF99" s="215">
        <f t="shared" si="86"/>
        <v>0</v>
      </c>
      <c r="BG99" s="215">
        <f t="shared" si="87"/>
        <v>0</v>
      </c>
      <c r="BH99" s="215" t="str">
        <f t="shared" si="88"/>
        <v/>
      </c>
      <c r="BI99" s="215" t="str">
        <f t="shared" si="89"/>
        <v/>
      </c>
      <c r="BJ99" s="215" t="str">
        <f t="shared" si="90"/>
        <v/>
      </c>
      <c r="BK99" s="215" t="str">
        <f t="shared" si="91"/>
        <v/>
      </c>
      <c r="BL99" s="215" t="str">
        <f t="shared" si="92"/>
        <v/>
      </c>
      <c r="BM99" s="216"/>
      <c r="BN99" s="214"/>
      <c r="BO99" s="215">
        <f t="shared" si="93"/>
        <v>0</v>
      </c>
      <c r="BP99" s="215">
        <f t="shared" si="94"/>
        <v>0</v>
      </c>
      <c r="BQ99" s="215" t="str">
        <f t="shared" si="100"/>
        <v>Kings Club Bayreuth Land 3</v>
      </c>
      <c r="BR99" s="214">
        <f t="shared" si="95"/>
        <v>2</v>
      </c>
      <c r="BS99" s="215">
        <f t="shared" si="96"/>
        <v>0</v>
      </c>
      <c r="BT99" s="215">
        <f>IF(COUNTIF(BH99:BL99,"&gt;0")&lt;Spielorte!$A$23,0,BE99/Spielorte!$A$23)</f>
        <v>0</v>
      </c>
      <c r="BU99" s="215">
        <f t="shared" si="97"/>
        <v>0</v>
      </c>
      <c r="BV99" s="214">
        <f t="shared" si="98"/>
        <v>0</v>
      </c>
    </row>
    <row r="100" spans="1:74" ht="17.100000000000001" customHeight="1" x14ac:dyDescent="0.2">
      <c r="A100" s="373" t="s">
        <v>2</v>
      </c>
      <c r="B100" s="17" t="str">
        <f t="shared" si="99"/>
        <v>Zahiri, Ali</v>
      </c>
      <c r="C100" s="18">
        <f t="shared" si="99"/>
        <v>38509</v>
      </c>
      <c r="D100" s="14">
        <f t="shared" si="99"/>
        <v>131</v>
      </c>
      <c r="E100" s="352">
        <f>IF(V100="","",V100)</f>
        <v>0</v>
      </c>
      <c r="F100" s="14">
        <f t="shared" si="78"/>
        <v>185</v>
      </c>
      <c r="G100" s="352">
        <f>IF(X100="","",X100)</f>
        <v>1</v>
      </c>
      <c r="H100" s="14">
        <f t="shared" si="79"/>
        <v>212</v>
      </c>
      <c r="I100" s="352">
        <f>IF(Z100="","",Z100)</f>
        <v>1</v>
      </c>
      <c r="J100" s="14">
        <f t="shared" si="80"/>
        <v>172</v>
      </c>
      <c r="K100" s="352">
        <f>IF(AB100="","",AB100)</f>
        <v>0</v>
      </c>
      <c r="L100" s="14">
        <f t="shared" si="81"/>
        <v>157</v>
      </c>
      <c r="M100" s="352">
        <f>IF(AD100="","",AD100)</f>
        <v>1</v>
      </c>
      <c r="N100" s="14">
        <f t="shared" si="82"/>
        <v>857</v>
      </c>
      <c r="O100" s="352">
        <f>IF(AF100="","",AF100)</f>
        <v>3</v>
      </c>
      <c r="R100" s="355" t="s">
        <v>2</v>
      </c>
      <c r="S100" s="68" t="str">
        <f>IF(T100=0,"",VLOOKUP(T100,Starter!$A$1:$D$196,2,FALSE))</f>
        <v>Zahiri, Ali</v>
      </c>
      <c r="T100" s="178">
        <v>38509</v>
      </c>
      <c r="U100" s="186">
        <v>131</v>
      </c>
      <c r="V100" s="95">
        <f>IF(SUM(U100:U102)+U116=0,0,IF(ABS(SUM(U100:U102))=U116,0.5,IF(ABS(SUM(U100:U102))&gt;U116,1,0)))</f>
        <v>0</v>
      </c>
      <c r="W100" s="186">
        <v>185</v>
      </c>
      <c r="X100" s="95">
        <f>IF(SUM(W100:W102)+W116=0,0,IF(ABS(SUM(W100:W102))=W116,0.5,IF(ABS(SUM(W100:W102))&gt;W116,1,0)))</f>
        <v>1</v>
      </c>
      <c r="Y100" s="186">
        <v>212</v>
      </c>
      <c r="Z100" s="95">
        <f>IF(SUM(Y100:Y102)+Y116=0,0,IF(ABS(SUM(Y100:Y102))=Y116,0.5,IF(ABS(SUM(Y100:Y102))&gt;Y116,1,0)))</f>
        <v>1</v>
      </c>
      <c r="AA100" s="186">
        <v>172</v>
      </c>
      <c r="AB100" s="95">
        <f>IF(SUM(AA100:AA102)+AA116=0,0,IF(ABS(SUM(AA100:AA102))=AA116,0.5,IF(ABS(SUM(AA100:AA102))&gt;AA116,1,0)))</f>
        <v>0</v>
      </c>
      <c r="AC100" s="186">
        <v>157</v>
      </c>
      <c r="AD100" s="95">
        <f>IF(SUM(AC100:AC102)+AC116=0,0,IF(ABS(SUM(AC100:AC102))=AC116,0.5,IF(ABS(SUM(AC100:AC102))&gt;AC116,1,0)))</f>
        <v>1</v>
      </c>
      <c r="AE100" s="195">
        <f t="shared" si="83"/>
        <v>857</v>
      </c>
      <c r="AF100" s="180">
        <f>SUM(V100+X100+Z100+AB100+AD100)</f>
        <v>3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4"/>
        <v>38509</v>
      </c>
      <c r="BE100" s="213">
        <f t="shared" si="85"/>
        <v>857</v>
      </c>
      <c r="BF100" s="215">
        <f t="shared" si="86"/>
        <v>5</v>
      </c>
      <c r="BG100" s="215">
        <f t="shared" si="87"/>
        <v>5</v>
      </c>
      <c r="BH100" s="215">
        <f t="shared" si="88"/>
        <v>131</v>
      </c>
      <c r="BI100" s="215">
        <f t="shared" si="89"/>
        <v>185</v>
      </c>
      <c r="BJ100" s="215">
        <f t="shared" si="90"/>
        <v>212</v>
      </c>
      <c r="BK100" s="215">
        <f t="shared" si="91"/>
        <v>172</v>
      </c>
      <c r="BL100" s="215">
        <f t="shared" si="92"/>
        <v>157</v>
      </c>
      <c r="BM100" s="216"/>
      <c r="BN100" s="214"/>
      <c r="BO100" s="215">
        <f t="shared" si="93"/>
        <v>212</v>
      </c>
      <c r="BP100" s="215">
        <f t="shared" si="94"/>
        <v>0</v>
      </c>
      <c r="BQ100" s="215" t="str">
        <f t="shared" si="100"/>
        <v>Kings Club Bayreuth Land 3</v>
      </c>
      <c r="BR100" s="214">
        <f t="shared" si="95"/>
        <v>2</v>
      </c>
      <c r="BS100" s="215">
        <f t="shared" si="96"/>
        <v>857</v>
      </c>
      <c r="BT100" s="215">
        <f>IF(COUNTIF(BH100:BL100,"&gt;0")&lt;Spielorte!$A$23,0,BE100/Spielorte!$A$23)</f>
        <v>171.4</v>
      </c>
      <c r="BU100" s="215">
        <f t="shared" si="97"/>
        <v>0</v>
      </c>
      <c r="BV100" s="214">
        <f t="shared" si="98"/>
        <v>0</v>
      </c>
    </row>
    <row r="101" spans="1:74" ht="17.100000000000001" customHeight="1" x14ac:dyDescent="0.2">
      <c r="A101" s="374"/>
      <c r="B101" s="19" t="str">
        <f t="shared" si="99"/>
        <v/>
      </c>
      <c r="C101" s="20" t="str">
        <f t="shared" si="99"/>
        <v/>
      </c>
      <c r="D101" s="15" t="str">
        <f t="shared" si="99"/>
        <v/>
      </c>
      <c r="E101" s="353"/>
      <c r="F101" s="15" t="str">
        <f t="shared" si="78"/>
        <v/>
      </c>
      <c r="G101" s="353"/>
      <c r="H101" s="15" t="str">
        <f t="shared" si="79"/>
        <v/>
      </c>
      <c r="I101" s="353"/>
      <c r="J101" s="15" t="str">
        <f t="shared" si="80"/>
        <v/>
      </c>
      <c r="K101" s="353"/>
      <c r="L101" s="15" t="str">
        <f t="shared" si="81"/>
        <v/>
      </c>
      <c r="M101" s="353"/>
      <c r="N101" s="15" t="str">
        <f t="shared" si="82"/>
        <v/>
      </c>
      <c r="O101" s="353"/>
      <c r="R101" s="356"/>
      <c r="S101" s="68" t="str">
        <f>IF(T101=0,"",VLOOKUP(T101,Starter!$A$1:$D$196,2,FALSE))</f>
        <v/>
      </c>
      <c r="T101" s="176"/>
      <c r="U101" s="184"/>
      <c r="V101" s="96"/>
      <c r="W101" s="184"/>
      <c r="X101" s="96"/>
      <c r="Y101" s="184"/>
      <c r="Z101" s="96"/>
      <c r="AA101" s="184"/>
      <c r="AB101" s="96"/>
      <c r="AC101" s="184"/>
      <c r="AD101" s="96"/>
      <c r="AE101" s="196">
        <f t="shared" si="83"/>
        <v>0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4"/>
        <v>0</v>
      </c>
      <c r="BE101" s="213">
        <f t="shared" si="85"/>
        <v>0</v>
      </c>
      <c r="BF101" s="215">
        <f t="shared" si="86"/>
        <v>0</v>
      </c>
      <c r="BG101" s="215">
        <f t="shared" si="87"/>
        <v>0</v>
      </c>
      <c r="BH101" s="215" t="str">
        <f t="shared" si="88"/>
        <v/>
      </c>
      <c r="BI101" s="215" t="str">
        <f t="shared" si="89"/>
        <v/>
      </c>
      <c r="BJ101" s="215" t="str">
        <f t="shared" si="90"/>
        <v/>
      </c>
      <c r="BK101" s="215" t="str">
        <f t="shared" si="91"/>
        <v/>
      </c>
      <c r="BL101" s="215" t="str">
        <f t="shared" si="92"/>
        <v/>
      </c>
      <c r="BM101" s="216"/>
      <c r="BN101" s="214"/>
      <c r="BO101" s="215">
        <f t="shared" si="93"/>
        <v>0</v>
      </c>
      <c r="BP101" s="215">
        <f t="shared" si="94"/>
        <v>0</v>
      </c>
      <c r="BQ101" s="215" t="str">
        <f t="shared" si="100"/>
        <v>Kings Club Bayreuth Land 3</v>
      </c>
      <c r="BR101" s="214">
        <f t="shared" si="95"/>
        <v>2</v>
      </c>
      <c r="BS101" s="215">
        <f t="shared" si="96"/>
        <v>0</v>
      </c>
      <c r="BT101" s="215">
        <f>IF(COUNTIF(BH101:BL101,"&gt;0")&lt;Spielorte!$A$23,0,BE101/Spielorte!$A$23)</f>
        <v>0</v>
      </c>
      <c r="BU101" s="215">
        <f t="shared" si="97"/>
        <v>0</v>
      </c>
      <c r="BV101" s="214">
        <f t="shared" si="98"/>
        <v>0</v>
      </c>
    </row>
    <row r="102" spans="1:74" ht="17.100000000000001" customHeight="1" thickBot="1" x14ac:dyDescent="0.25">
      <c r="A102" s="375"/>
      <c r="B102" s="21" t="str">
        <f t="shared" si="99"/>
        <v/>
      </c>
      <c r="C102" s="22" t="str">
        <f t="shared" si="99"/>
        <v/>
      </c>
      <c r="D102" s="9" t="str">
        <f t="shared" si="99"/>
        <v/>
      </c>
      <c r="E102" s="354"/>
      <c r="F102" s="9" t="str">
        <f t="shared" si="78"/>
        <v/>
      </c>
      <c r="G102" s="354"/>
      <c r="H102" s="9" t="str">
        <f t="shared" si="79"/>
        <v/>
      </c>
      <c r="I102" s="354"/>
      <c r="J102" s="9" t="str">
        <f t="shared" si="80"/>
        <v/>
      </c>
      <c r="K102" s="354"/>
      <c r="L102" s="9" t="str">
        <f t="shared" si="81"/>
        <v/>
      </c>
      <c r="M102" s="354"/>
      <c r="N102" s="9" t="str">
        <f t="shared" si="82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3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4"/>
        <v>0</v>
      </c>
      <c r="BE102" s="213">
        <f t="shared" si="85"/>
        <v>0</v>
      </c>
      <c r="BF102" s="215">
        <f t="shared" si="86"/>
        <v>0</v>
      </c>
      <c r="BG102" s="215">
        <f t="shared" si="87"/>
        <v>0</v>
      </c>
      <c r="BH102" s="215" t="str">
        <f t="shared" si="88"/>
        <v/>
      </c>
      <c r="BI102" s="215" t="str">
        <f t="shared" si="89"/>
        <v/>
      </c>
      <c r="BJ102" s="215" t="str">
        <f t="shared" si="90"/>
        <v/>
      </c>
      <c r="BK102" s="215" t="str">
        <f t="shared" si="91"/>
        <v/>
      </c>
      <c r="BL102" s="215" t="str">
        <f t="shared" si="92"/>
        <v/>
      </c>
      <c r="BM102" s="216"/>
      <c r="BN102" s="214"/>
      <c r="BO102" s="215">
        <f t="shared" si="93"/>
        <v>0</v>
      </c>
      <c r="BP102" s="215">
        <f t="shared" si="94"/>
        <v>0</v>
      </c>
      <c r="BQ102" s="215" t="str">
        <f t="shared" si="100"/>
        <v>Kings Club Bayreuth Land 3</v>
      </c>
      <c r="BR102" s="214">
        <f t="shared" si="95"/>
        <v>2</v>
      </c>
      <c r="BS102" s="215">
        <f t="shared" si="96"/>
        <v>0</v>
      </c>
      <c r="BT102" s="215">
        <f>IF(COUNTIF(BH102:BL102,"&gt;0")&lt;Spielorte!$A$23,0,BE102/Spielorte!$A$23)</f>
        <v>0</v>
      </c>
      <c r="BU102" s="215">
        <f t="shared" si="97"/>
        <v>0</v>
      </c>
      <c r="BV102" s="214">
        <f t="shared" si="98"/>
        <v>0</v>
      </c>
    </row>
    <row r="103" spans="1:74" ht="17.100000000000001" customHeight="1" x14ac:dyDescent="0.2">
      <c r="A103" s="373" t="s">
        <v>3</v>
      </c>
      <c r="B103" s="17" t="str">
        <f t="shared" si="99"/>
        <v>Fischer, Nick</v>
      </c>
      <c r="C103" s="18">
        <f t="shared" si="99"/>
        <v>9936</v>
      </c>
      <c r="D103" s="14">
        <f t="shared" si="99"/>
        <v>199</v>
      </c>
      <c r="E103" s="352">
        <f>IF(V103="","",V103)</f>
        <v>1</v>
      </c>
      <c r="F103" s="14">
        <f t="shared" si="78"/>
        <v>205</v>
      </c>
      <c r="G103" s="352">
        <f>IF(X103="","",X103)</f>
        <v>1</v>
      </c>
      <c r="H103" s="14">
        <f t="shared" si="79"/>
        <v>189</v>
      </c>
      <c r="I103" s="352">
        <f>IF(Z103="","",Z103)</f>
        <v>1</v>
      </c>
      <c r="J103" s="14">
        <f t="shared" si="80"/>
        <v>157</v>
      </c>
      <c r="K103" s="352">
        <f>IF(AB103="","",AB103)</f>
        <v>0</v>
      </c>
      <c r="L103" s="14">
        <f t="shared" si="81"/>
        <v>166</v>
      </c>
      <c r="M103" s="352">
        <f>IF(AD103="","",AD103)</f>
        <v>0</v>
      </c>
      <c r="N103" s="14">
        <f t="shared" si="82"/>
        <v>916</v>
      </c>
      <c r="O103" s="352">
        <f>IF(AF103="","",AF103)</f>
        <v>3</v>
      </c>
      <c r="R103" s="355" t="s">
        <v>3</v>
      </c>
      <c r="S103" s="68" t="str">
        <f>IF(T103=0,"",VLOOKUP(T103,Starter!$A$1:$D$196,2,FALSE))</f>
        <v>Fischer, Nick</v>
      </c>
      <c r="T103" s="178">
        <v>9936</v>
      </c>
      <c r="U103" s="186">
        <v>199</v>
      </c>
      <c r="V103" s="95">
        <f>IF(SUM(U103:U105)+U117=0,0,IF(ABS(SUM(U103:U105))=U117,0.5,IF(ABS(SUM(U103:U105))&gt;U117,1,0)))</f>
        <v>1</v>
      </c>
      <c r="W103" s="186">
        <v>205</v>
      </c>
      <c r="X103" s="95">
        <f>IF(SUM(W103:W105)+W117=0,0,IF(ABS(SUM(W103:W105))=W117,0.5,IF(ABS(SUM(W103:W105))&gt;W117,1,0)))</f>
        <v>1</v>
      </c>
      <c r="Y103" s="186">
        <v>189</v>
      </c>
      <c r="Z103" s="95">
        <f>IF(SUM(Y103:Y105)+Y117=0,0,IF(ABS(SUM(Y103:Y105))=Y117,0.5,IF(ABS(SUM(Y103:Y105))&gt;Y117,1,0)))</f>
        <v>1</v>
      </c>
      <c r="AA103" s="186">
        <v>157</v>
      </c>
      <c r="AB103" s="95">
        <f>IF(SUM(AA103:AA105)+AA117=0,0,IF(ABS(SUM(AA103:AA105))=AA117,0.5,IF(ABS(SUM(AA103:AA105))&gt;AA117,1,0)))</f>
        <v>0</v>
      </c>
      <c r="AC103" s="186">
        <v>166</v>
      </c>
      <c r="AD103" s="95">
        <f>IF(SUM(AC103:AC105)+AC117=0,0,IF(ABS(SUM(AC103:AC105))=AC117,0.5,IF(ABS(SUM(AC103:AC105))&gt;AC117,1,0)))</f>
        <v>0</v>
      </c>
      <c r="AE103" s="195">
        <f t="shared" si="83"/>
        <v>916</v>
      </c>
      <c r="AF103" s="180">
        <f>SUM(V103+X103+Z103+AB103+AD103)</f>
        <v>3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4"/>
        <v>9936</v>
      </c>
      <c r="BE103" s="213">
        <f t="shared" si="85"/>
        <v>916</v>
      </c>
      <c r="BF103" s="215">
        <f t="shared" si="86"/>
        <v>5</v>
      </c>
      <c r="BG103" s="215">
        <f t="shared" si="87"/>
        <v>5</v>
      </c>
      <c r="BH103" s="215">
        <f t="shared" si="88"/>
        <v>199</v>
      </c>
      <c r="BI103" s="215">
        <f t="shared" si="89"/>
        <v>205</v>
      </c>
      <c r="BJ103" s="215">
        <f t="shared" si="90"/>
        <v>189</v>
      </c>
      <c r="BK103" s="215">
        <f t="shared" si="91"/>
        <v>157</v>
      </c>
      <c r="BL103" s="215">
        <f t="shared" si="92"/>
        <v>166</v>
      </c>
      <c r="BM103" s="216"/>
      <c r="BN103" s="214"/>
      <c r="BO103" s="215">
        <f t="shared" si="93"/>
        <v>205</v>
      </c>
      <c r="BP103" s="215">
        <f t="shared" si="94"/>
        <v>0</v>
      </c>
      <c r="BQ103" s="215" t="str">
        <f t="shared" si="100"/>
        <v>Kings Club Bayreuth Land 3</v>
      </c>
      <c r="BR103" s="214">
        <f t="shared" si="95"/>
        <v>2</v>
      </c>
      <c r="BS103" s="215">
        <f t="shared" si="96"/>
        <v>916</v>
      </c>
      <c r="BT103" s="215">
        <f>IF(COUNTIF(BH103:BL103,"&gt;0")&lt;Spielorte!$A$23,0,BE103/Spielorte!$A$23)</f>
        <v>183.2</v>
      </c>
      <c r="BU103" s="215">
        <f t="shared" si="97"/>
        <v>0</v>
      </c>
      <c r="BV103" s="214">
        <f t="shared" si="98"/>
        <v>0</v>
      </c>
    </row>
    <row r="104" spans="1:74" ht="17.100000000000001" customHeight="1" x14ac:dyDescent="0.2">
      <c r="A104" s="374"/>
      <c r="B104" s="19" t="str">
        <f t="shared" si="99"/>
        <v/>
      </c>
      <c r="C104" s="20" t="str">
        <f t="shared" si="99"/>
        <v/>
      </c>
      <c r="D104" s="15" t="str">
        <f t="shared" si="99"/>
        <v/>
      </c>
      <c r="E104" s="353"/>
      <c r="F104" s="15" t="str">
        <f t="shared" si="78"/>
        <v/>
      </c>
      <c r="G104" s="353"/>
      <c r="H104" s="15" t="str">
        <f t="shared" si="79"/>
        <v/>
      </c>
      <c r="I104" s="353"/>
      <c r="J104" s="15" t="str">
        <f t="shared" si="80"/>
        <v/>
      </c>
      <c r="K104" s="353"/>
      <c r="L104" s="15" t="str">
        <f t="shared" si="81"/>
        <v/>
      </c>
      <c r="M104" s="353"/>
      <c r="N104" s="15" t="str">
        <f t="shared" si="82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3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4"/>
        <v>0</v>
      </c>
      <c r="BE104" s="213">
        <f t="shared" si="85"/>
        <v>0</v>
      </c>
      <c r="BF104" s="215">
        <f t="shared" si="86"/>
        <v>0</v>
      </c>
      <c r="BG104" s="215">
        <f t="shared" si="87"/>
        <v>0</v>
      </c>
      <c r="BH104" s="215" t="str">
        <f t="shared" si="88"/>
        <v/>
      </c>
      <c r="BI104" s="215" t="str">
        <f t="shared" si="89"/>
        <v/>
      </c>
      <c r="BJ104" s="215" t="str">
        <f t="shared" si="90"/>
        <v/>
      </c>
      <c r="BK104" s="215" t="str">
        <f t="shared" si="91"/>
        <v/>
      </c>
      <c r="BL104" s="215" t="str">
        <f t="shared" si="92"/>
        <v/>
      </c>
      <c r="BM104" s="216"/>
      <c r="BN104" s="214"/>
      <c r="BO104" s="215">
        <f t="shared" si="93"/>
        <v>0</v>
      </c>
      <c r="BP104" s="215">
        <f t="shared" si="94"/>
        <v>0</v>
      </c>
      <c r="BQ104" s="215" t="str">
        <f t="shared" si="100"/>
        <v>Kings Club Bayreuth Land 3</v>
      </c>
      <c r="BR104" s="214">
        <f t="shared" si="95"/>
        <v>2</v>
      </c>
      <c r="BS104" s="215">
        <f t="shared" si="96"/>
        <v>0</v>
      </c>
      <c r="BT104" s="215">
        <f>IF(COUNTIF(BH104:BL104,"&gt;0")&lt;Spielorte!$A$23,0,BE104/Spielorte!$A$23)</f>
        <v>0</v>
      </c>
      <c r="BU104" s="215">
        <f t="shared" si="97"/>
        <v>0</v>
      </c>
      <c r="BV104" s="214">
        <f t="shared" si="98"/>
        <v>0</v>
      </c>
    </row>
    <row r="105" spans="1:74" ht="17.100000000000001" customHeight="1" thickBot="1" x14ac:dyDescent="0.25">
      <c r="A105" s="375"/>
      <c r="B105" s="21" t="str">
        <f t="shared" si="99"/>
        <v/>
      </c>
      <c r="C105" s="22" t="str">
        <f t="shared" si="99"/>
        <v/>
      </c>
      <c r="D105" s="9" t="str">
        <f t="shared" si="99"/>
        <v/>
      </c>
      <c r="E105" s="354"/>
      <c r="F105" s="9" t="str">
        <f t="shared" si="78"/>
        <v/>
      </c>
      <c r="G105" s="354"/>
      <c r="H105" s="9" t="str">
        <f t="shared" si="79"/>
        <v/>
      </c>
      <c r="I105" s="354"/>
      <c r="J105" s="9" t="str">
        <f t="shared" si="80"/>
        <v/>
      </c>
      <c r="K105" s="354"/>
      <c r="L105" s="9" t="str">
        <f t="shared" si="81"/>
        <v/>
      </c>
      <c r="M105" s="354"/>
      <c r="N105" s="9" t="str">
        <f t="shared" si="82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3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4"/>
        <v>0</v>
      </c>
      <c r="BE105" s="213">
        <f t="shared" si="85"/>
        <v>0</v>
      </c>
      <c r="BF105" s="215">
        <f t="shared" si="86"/>
        <v>0</v>
      </c>
      <c r="BG105" s="215">
        <f t="shared" si="87"/>
        <v>0</v>
      </c>
      <c r="BH105" s="215" t="str">
        <f t="shared" si="88"/>
        <v/>
      </c>
      <c r="BI105" s="215" t="str">
        <f t="shared" si="89"/>
        <v/>
      </c>
      <c r="BJ105" s="215" t="str">
        <f t="shared" si="90"/>
        <v/>
      </c>
      <c r="BK105" s="215" t="str">
        <f t="shared" si="91"/>
        <v/>
      </c>
      <c r="BL105" s="215" t="str">
        <f t="shared" si="92"/>
        <v/>
      </c>
      <c r="BM105" s="216"/>
      <c r="BN105" s="214"/>
      <c r="BO105" s="215">
        <f t="shared" si="93"/>
        <v>0</v>
      </c>
      <c r="BP105" s="215">
        <f t="shared" si="94"/>
        <v>0</v>
      </c>
      <c r="BQ105" s="215" t="str">
        <f t="shared" si="100"/>
        <v>Kings Club Bayreuth Land 3</v>
      </c>
      <c r="BR105" s="214">
        <f t="shared" si="95"/>
        <v>2</v>
      </c>
      <c r="BS105" s="215">
        <f t="shared" si="96"/>
        <v>0</v>
      </c>
      <c r="BT105" s="215">
        <f>IF(COUNTIF(BH105:BL105,"&gt;0")&lt;Spielorte!$A$23,0,BE105/Spielorte!$A$23)</f>
        <v>0</v>
      </c>
      <c r="BU105" s="215">
        <f t="shared" si="97"/>
        <v>0</v>
      </c>
      <c r="BV105" s="214">
        <f t="shared" si="98"/>
        <v>0</v>
      </c>
    </row>
    <row r="106" spans="1:74" ht="17.100000000000001" customHeight="1" x14ac:dyDescent="0.2">
      <c r="A106" s="373" t="s">
        <v>11</v>
      </c>
      <c r="B106" s="17" t="str">
        <f>IF(S106=0,"",S106)</f>
        <v>Eichner, Karl</v>
      </c>
      <c r="C106" s="18">
        <f t="shared" si="99"/>
        <v>7586</v>
      </c>
      <c r="D106" s="14">
        <f t="shared" si="99"/>
        <v>183</v>
      </c>
      <c r="E106" s="352">
        <f>IF(V106="","",V106)</f>
        <v>0</v>
      </c>
      <c r="F106" s="14">
        <f t="shared" si="78"/>
        <v>147</v>
      </c>
      <c r="G106" s="352">
        <f>IF(X106="","",X106)</f>
        <v>0</v>
      </c>
      <c r="H106" s="14">
        <f t="shared" si="79"/>
        <v>142</v>
      </c>
      <c r="I106" s="352">
        <f>IF(Z106="","",Z106)</f>
        <v>0</v>
      </c>
      <c r="J106" s="14">
        <f t="shared" si="80"/>
        <v>199</v>
      </c>
      <c r="K106" s="352">
        <f>IF(AB106="","",AB106)</f>
        <v>1</v>
      </c>
      <c r="L106" s="14">
        <f t="shared" si="81"/>
        <v>169</v>
      </c>
      <c r="M106" s="352">
        <f>IF(AD106="","",AD106)</f>
        <v>0</v>
      </c>
      <c r="N106" s="14">
        <f t="shared" si="82"/>
        <v>840</v>
      </c>
      <c r="O106" s="352">
        <f>IF(AF106="","",AF106)</f>
        <v>1</v>
      </c>
      <c r="R106" s="355" t="s">
        <v>11</v>
      </c>
      <c r="S106" s="68" t="str">
        <f>IF(T106=0,"",VLOOKUP(T106,Starter!$A$1:$D$196,2,FALSE))</f>
        <v>Eichner, Karl</v>
      </c>
      <c r="T106" s="178">
        <v>7586</v>
      </c>
      <c r="U106" s="186">
        <v>183</v>
      </c>
      <c r="V106" s="95">
        <f>IF(SUM(U106:U108)+U118=0,0,IF(ABS(SUM(U106:U108))=U118,0.5,IF(ABS(SUM(U106:U108))&gt;U118,1,0)))</f>
        <v>0</v>
      </c>
      <c r="W106" s="186">
        <v>147</v>
      </c>
      <c r="X106" s="95">
        <f>IF(SUM(W106:W108)+W118=0,0,IF(ABS(SUM(W106:W108))=W118,0.5,IF(ABS(SUM(W106:W108))&gt;W118,1,0)))</f>
        <v>0</v>
      </c>
      <c r="Y106" s="186">
        <v>142</v>
      </c>
      <c r="Z106" s="95">
        <f>IF(SUM(Y106:Y108)+Y118=0,0,IF(ABS(SUM(Y106:Y108))=Y118,0.5,IF(ABS(SUM(Y106:Y108))&gt;Y118,1,0)))</f>
        <v>0</v>
      </c>
      <c r="AA106" s="186">
        <v>199</v>
      </c>
      <c r="AB106" s="95">
        <f>IF(SUM(AA106:AA108)+AA118=0,0,IF(ABS(SUM(AA106:AA108))=AA118,0.5,IF(ABS(SUM(AA106:AA108))&gt;AA118,1,0)))</f>
        <v>1</v>
      </c>
      <c r="AC106" s="186">
        <v>169</v>
      </c>
      <c r="AD106" s="95">
        <f>IF(SUM(AC106:AC108)+AC118=0,0,IF(ABS(SUM(AC106:AC108))=AC118,0.5,IF(ABS(SUM(AC106:AC108))&gt;AC118,1,0)))</f>
        <v>0</v>
      </c>
      <c r="AE106" s="195">
        <f t="shared" si="83"/>
        <v>840</v>
      </c>
      <c r="AF106" s="180">
        <f>SUM(V106+X106+Z106+AB106+AD106)</f>
        <v>1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4"/>
        <v>7586</v>
      </c>
      <c r="BE106" s="213">
        <f t="shared" si="85"/>
        <v>840</v>
      </c>
      <c r="BF106" s="215">
        <f t="shared" si="86"/>
        <v>5</v>
      </c>
      <c r="BG106" s="215">
        <f t="shared" si="87"/>
        <v>5</v>
      </c>
      <c r="BH106" s="215">
        <f t="shared" si="88"/>
        <v>183</v>
      </c>
      <c r="BI106" s="215">
        <f t="shared" si="89"/>
        <v>147</v>
      </c>
      <c r="BJ106" s="215">
        <f t="shared" si="90"/>
        <v>142</v>
      </c>
      <c r="BK106" s="215">
        <f t="shared" si="91"/>
        <v>199</v>
      </c>
      <c r="BL106" s="215">
        <f t="shared" si="92"/>
        <v>169</v>
      </c>
      <c r="BM106" s="216"/>
      <c r="BN106" s="214"/>
      <c r="BO106" s="215">
        <f t="shared" si="93"/>
        <v>199</v>
      </c>
      <c r="BP106" s="215">
        <f t="shared" si="94"/>
        <v>0</v>
      </c>
      <c r="BQ106" s="215" t="str">
        <f t="shared" si="100"/>
        <v>Kings Club Bayreuth Land 3</v>
      </c>
      <c r="BR106" s="214">
        <f t="shared" si="95"/>
        <v>2</v>
      </c>
      <c r="BS106" s="215">
        <f t="shared" si="96"/>
        <v>840</v>
      </c>
      <c r="BT106" s="215">
        <f>IF(COUNTIF(BH106:BL106,"&gt;0")&lt;Spielorte!$A$23,0,BE106/Spielorte!$A$23)</f>
        <v>168</v>
      </c>
      <c r="BU106" s="215">
        <f t="shared" si="97"/>
        <v>0</v>
      </c>
      <c r="BV106" s="214">
        <f t="shared" si="98"/>
        <v>0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99"/>
        <v/>
      </c>
      <c r="D107" s="15" t="str">
        <f t="shared" si="99"/>
        <v/>
      </c>
      <c r="E107" s="353"/>
      <c r="F107" s="15" t="str">
        <f t="shared" si="78"/>
        <v/>
      </c>
      <c r="G107" s="353"/>
      <c r="H107" s="15" t="str">
        <f t="shared" si="79"/>
        <v/>
      </c>
      <c r="I107" s="353"/>
      <c r="J107" s="15" t="str">
        <f t="shared" si="80"/>
        <v/>
      </c>
      <c r="K107" s="353"/>
      <c r="L107" s="15" t="str">
        <f t="shared" si="81"/>
        <v/>
      </c>
      <c r="M107" s="353"/>
      <c r="N107" s="15" t="str">
        <f t="shared" si="82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3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4"/>
        <v>0</v>
      </c>
      <c r="BE107" s="213">
        <f t="shared" si="85"/>
        <v>0</v>
      </c>
      <c r="BF107" s="215">
        <f t="shared" si="86"/>
        <v>0</v>
      </c>
      <c r="BG107" s="215">
        <f t="shared" si="87"/>
        <v>0</v>
      </c>
      <c r="BH107" s="215" t="str">
        <f t="shared" si="88"/>
        <v/>
      </c>
      <c r="BI107" s="215" t="str">
        <f t="shared" si="89"/>
        <v/>
      </c>
      <c r="BJ107" s="215" t="str">
        <f t="shared" si="90"/>
        <v/>
      </c>
      <c r="BK107" s="215" t="str">
        <f t="shared" si="91"/>
        <v/>
      </c>
      <c r="BL107" s="215" t="str">
        <f t="shared" si="92"/>
        <v/>
      </c>
      <c r="BM107" s="216"/>
      <c r="BN107" s="214"/>
      <c r="BO107" s="215">
        <f t="shared" si="93"/>
        <v>0</v>
      </c>
      <c r="BP107" s="215">
        <f t="shared" si="94"/>
        <v>0</v>
      </c>
      <c r="BQ107" s="215" t="str">
        <f t="shared" si="100"/>
        <v>Kings Club Bayreuth Land 3</v>
      </c>
      <c r="BR107" s="214">
        <f t="shared" si="95"/>
        <v>2</v>
      </c>
      <c r="BS107" s="215">
        <f t="shared" si="96"/>
        <v>0</v>
      </c>
      <c r="BT107" s="215">
        <f>IF(COUNTIF(BH107:BL107,"&gt;0")&lt;Spielorte!$A$23,0,BE107/Spielorte!$A$23)</f>
        <v>0</v>
      </c>
      <c r="BU107" s="215">
        <f t="shared" si="97"/>
        <v>0</v>
      </c>
      <c r="BV107" s="214">
        <f t="shared" si="98"/>
        <v>0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99"/>
        <v/>
      </c>
      <c r="D108" s="9" t="str">
        <f t="shared" si="99"/>
        <v/>
      </c>
      <c r="E108" s="354"/>
      <c r="F108" s="9" t="str">
        <f t="shared" si="78"/>
        <v/>
      </c>
      <c r="G108" s="354"/>
      <c r="H108" s="9" t="str">
        <f t="shared" si="79"/>
        <v/>
      </c>
      <c r="I108" s="354"/>
      <c r="J108" s="9" t="str">
        <f t="shared" si="80"/>
        <v/>
      </c>
      <c r="K108" s="354"/>
      <c r="L108" s="9" t="str">
        <f t="shared" si="81"/>
        <v/>
      </c>
      <c r="M108" s="354"/>
      <c r="N108" s="9" t="str">
        <f t="shared" si="82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3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4"/>
        <v>0</v>
      </c>
      <c r="BE108" s="213">
        <f t="shared" si="85"/>
        <v>0</v>
      </c>
      <c r="BF108" s="215">
        <f t="shared" si="86"/>
        <v>0</v>
      </c>
      <c r="BG108" s="215">
        <f t="shared" si="87"/>
        <v>0</v>
      </c>
      <c r="BH108" s="215" t="str">
        <f t="shared" si="88"/>
        <v/>
      </c>
      <c r="BI108" s="215" t="str">
        <f t="shared" si="89"/>
        <v/>
      </c>
      <c r="BJ108" s="215" t="str">
        <f t="shared" si="90"/>
        <v/>
      </c>
      <c r="BK108" s="215" t="str">
        <f t="shared" si="91"/>
        <v/>
      </c>
      <c r="BL108" s="215" t="str">
        <f t="shared" si="92"/>
        <v/>
      </c>
      <c r="BM108" s="216"/>
      <c r="BN108" s="214"/>
      <c r="BO108" s="215">
        <f t="shared" si="93"/>
        <v>0</v>
      </c>
      <c r="BP108" s="215">
        <f t="shared" si="94"/>
        <v>0</v>
      </c>
      <c r="BQ108" s="215" t="str">
        <f t="shared" si="100"/>
        <v>Kings Club Bayreuth Land 3</v>
      </c>
      <c r="BR108" s="214">
        <f t="shared" si="95"/>
        <v>2</v>
      </c>
      <c r="BS108" s="215">
        <f t="shared" si="96"/>
        <v>0</v>
      </c>
      <c r="BT108" s="215">
        <f>IF(COUNTIF(BH108:BL108,"&gt;0")&lt;Spielorte!$A$23,0,BE108/Spielorte!$A$23)</f>
        <v>0</v>
      </c>
      <c r="BU108" s="215">
        <f t="shared" si="97"/>
        <v>0</v>
      </c>
      <c r="BV108" s="214">
        <f t="shared" si="98"/>
        <v>0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99"/>
        <v/>
      </c>
      <c r="D109" s="16">
        <f t="shared" si="99"/>
        <v>678</v>
      </c>
      <c r="E109" s="12">
        <f>IF(V109="","",V109)</f>
        <v>0</v>
      </c>
      <c r="F109" s="16">
        <f t="shared" si="78"/>
        <v>719</v>
      </c>
      <c r="G109" s="12">
        <f>IF(X109="","",X109)</f>
        <v>2</v>
      </c>
      <c r="H109" s="16">
        <f t="shared" si="79"/>
        <v>694</v>
      </c>
      <c r="I109" s="12">
        <f>IF(Z109="","",Z109)</f>
        <v>2</v>
      </c>
      <c r="J109" s="16">
        <f t="shared" si="80"/>
        <v>687</v>
      </c>
      <c r="K109" s="12">
        <f>IF(AB109="","",AB109)</f>
        <v>0</v>
      </c>
      <c r="L109" s="16">
        <f t="shared" si="81"/>
        <v>697</v>
      </c>
      <c r="M109" s="12">
        <f>IF(AD109="","",AD109)</f>
        <v>0</v>
      </c>
      <c r="N109" s="16">
        <f t="shared" si="82"/>
        <v>3475</v>
      </c>
      <c r="O109" s="12">
        <f>IF(AF109="","",AF109)</f>
        <v>4</v>
      </c>
      <c r="S109" s="11" t="s">
        <v>1791</v>
      </c>
      <c r="T109" s="71"/>
      <c r="U109" s="188">
        <f>ABS(SUM(U97:U99))+ABS(SUM(U100:U102))+ABS(SUM(U103:U105))+ABS(SUM(U106:U108))</f>
        <v>678</v>
      </c>
      <c r="V109" s="98">
        <f>IF(U109+U119=0,0,IF(U109=U119,1,IF(U109&gt;U119,2,0)))</f>
        <v>0</v>
      </c>
      <c r="W109" s="188">
        <f>ABS(SUM(W97:W99))+ABS(SUM(W100:W102))+ABS(SUM(W103:W105))+ABS(SUM(W106:W108))</f>
        <v>719</v>
      </c>
      <c r="X109" s="98">
        <f>IF(W109+W119=0,0,IF(W109=W119,1,IF(W109&gt;W119,2,0)))</f>
        <v>2</v>
      </c>
      <c r="Y109" s="188">
        <f>ABS(SUM(Y97:Y99))+ABS(SUM(Y100:Y102))+ABS(SUM(Y103:Y105))+ABS(SUM(Y106:Y108))</f>
        <v>694</v>
      </c>
      <c r="Z109" s="98">
        <f>IF(Y109+Y119=0,0,IF(Y109=Y119,1,IF(Y109&gt;Y119,2,0)))</f>
        <v>2</v>
      </c>
      <c r="AA109" s="188">
        <f>ABS(SUM(AA97:AA99))+ABS(SUM(AA100:AA102))+ABS(SUM(AA103:AA105))+ABS(SUM(AA106:AA108))</f>
        <v>687</v>
      </c>
      <c r="AB109" s="98">
        <f>IF(AA109+AA119=0,0,IF(AA109=AA119,1,IF(AA109&gt;AA119,2,0)))</f>
        <v>0</v>
      </c>
      <c r="AC109" s="188">
        <f>ABS(SUM(AC97:AC99))+ABS(SUM(AC100:AC102))+ABS(SUM(AC103:AC105))+ABS(SUM(AC106:AC108))</f>
        <v>697</v>
      </c>
      <c r="AD109" s="98">
        <f>IF(AC109+AC119=0,0,IF(AC109=AC119,1,IF(AC109&gt;AC119,2,0)))</f>
        <v>0</v>
      </c>
      <c r="AE109" s="198">
        <f>SUM(U109+W109+Y109+AA109+AC109)</f>
        <v>3475</v>
      </c>
      <c r="AF109" s="12">
        <f>SUM(V109+X109+Z109+AB109+AD109)</f>
        <v>4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99"/>
        <v/>
      </c>
      <c r="D110" s="1" t="str">
        <f t="shared" si="99"/>
        <v/>
      </c>
      <c r="E110" s="23">
        <f>IF(V110="","",V110)</f>
        <v>1</v>
      </c>
      <c r="F110" s="1" t="str">
        <f t="shared" si="78"/>
        <v/>
      </c>
      <c r="G110" s="23">
        <f>IF(X110="","",X110)</f>
        <v>4</v>
      </c>
      <c r="H110" s="1" t="str">
        <f t="shared" si="79"/>
        <v/>
      </c>
      <c r="I110" s="23">
        <f>IF(Z110="","",Z110)</f>
        <v>5</v>
      </c>
      <c r="J110" s="1" t="str">
        <f t="shared" si="80"/>
        <v/>
      </c>
      <c r="K110" s="23">
        <f>IF(AB110="","",AB110)</f>
        <v>1</v>
      </c>
      <c r="L110" s="1" t="str">
        <f t="shared" si="81"/>
        <v/>
      </c>
      <c r="M110" s="23">
        <f>IF(AD110="","",AD110)</f>
        <v>2</v>
      </c>
      <c r="N110" s="1" t="str">
        <f t="shared" si="82"/>
        <v/>
      </c>
      <c r="O110" s="23">
        <f>IF(AF110="","",AF110)</f>
        <v>13</v>
      </c>
      <c r="S110" s="8" t="s">
        <v>1802</v>
      </c>
      <c r="T110" s="1"/>
      <c r="U110" s="1"/>
      <c r="V110" s="72">
        <f>SUM(V97:V109)</f>
        <v>1</v>
      </c>
      <c r="W110" s="1"/>
      <c r="X110" s="72">
        <f>SUM(X97:X109)</f>
        <v>4</v>
      </c>
      <c r="Y110" s="1"/>
      <c r="Z110" s="72">
        <f>SUM(Z97:Z109)</f>
        <v>5</v>
      </c>
      <c r="AA110" s="1"/>
      <c r="AB110" s="72">
        <f>SUM(AB97:AB109)</f>
        <v>1</v>
      </c>
      <c r="AC110" s="1"/>
      <c r="AD110" s="72">
        <f>SUM(AD97:AD109)</f>
        <v>2</v>
      </c>
      <c r="AE110" s="1"/>
      <c r="AF110" s="72">
        <f>SUM(AF97:AF109)</f>
        <v>13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13</v>
      </c>
      <c r="BB110" s="213">
        <f>AE109</f>
        <v>3475</v>
      </c>
      <c r="BC110" s="214">
        <f>+S92</f>
        <v>4</v>
      </c>
      <c r="BF110" s="215">
        <f>SUM(BF91:BF109)</f>
        <v>20</v>
      </c>
      <c r="BM110" s="212">
        <f>+BB110/1000000+BA110</f>
        <v>13.003475</v>
      </c>
      <c r="BN110" s="214">
        <f>RANK(BM110,BM:BM)</f>
        <v>4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M112" si="101">IF(S112=0,"",S112)</f>
        <v>Gegner-Nr.:</v>
      </c>
      <c r="C112" s="5" t="str">
        <f t="shared" si="101"/>
        <v>&gt;&gt;&gt;&gt;</v>
      </c>
      <c r="D112" s="350">
        <f t="shared" si="101"/>
        <v>2</v>
      </c>
      <c r="E112" s="350" t="str">
        <f t="shared" si="101"/>
        <v/>
      </c>
      <c r="F112" s="350">
        <f t="shared" si="101"/>
        <v>1</v>
      </c>
      <c r="G112" s="350" t="str">
        <f t="shared" si="101"/>
        <v/>
      </c>
      <c r="H112" s="350">
        <f t="shared" si="101"/>
        <v>6</v>
      </c>
      <c r="I112" s="350" t="str">
        <f t="shared" si="101"/>
        <v/>
      </c>
      <c r="J112" s="350">
        <f t="shared" si="101"/>
        <v>5</v>
      </c>
      <c r="K112" s="350" t="str">
        <f t="shared" si="101"/>
        <v/>
      </c>
      <c r="L112" s="350">
        <f t="shared" si="101"/>
        <v>3</v>
      </c>
      <c r="M112" s="350" t="str">
        <f t="shared" si="101"/>
        <v/>
      </c>
      <c r="N112" s="351"/>
      <c r="O112" s="351"/>
      <c r="S112" s="13" t="s">
        <v>1789</v>
      </c>
      <c r="T112" s="5" t="s">
        <v>1790</v>
      </c>
      <c r="U112" s="369">
        <f>VLOOKUP($S92,Schlüssel!$A$5:$DG$10,83)</f>
        <v>2</v>
      </c>
      <c r="V112" s="370"/>
      <c r="W112" s="369">
        <f>VLOOKUP($S92,Schlüssel!$A$5:$EK$10,84)</f>
        <v>1</v>
      </c>
      <c r="X112" s="370"/>
      <c r="Y112" s="369">
        <f>VLOOKUP($S92,Schlüssel!$A$5:$EK$10,85)</f>
        <v>6</v>
      </c>
      <c r="Z112" s="370"/>
      <c r="AA112" s="369">
        <f>VLOOKUP($S92,Schlüssel!$A$5:$EK$10,86)</f>
        <v>5</v>
      </c>
      <c r="AB112" s="370"/>
      <c r="AC112" s="369">
        <f>VLOOKUP($S92,Schlüssel!$A$5:$EK$10,87)</f>
        <v>3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ref="B113:K114" si="102">IF(S113=0,"",S113)</f>
        <v/>
      </c>
      <c r="C113" s="1" t="str">
        <f t="shared" si="102"/>
        <v/>
      </c>
      <c r="D113" s="347" t="str">
        <f t="shared" si="102"/>
        <v>Herzogenaurach 1</v>
      </c>
      <c r="E113" s="348" t="str">
        <f t="shared" si="102"/>
        <v/>
      </c>
      <c r="F113" s="347" t="str">
        <f t="shared" si="102"/>
        <v>Castra Regina Regensburg 3</v>
      </c>
      <c r="G113" s="348" t="str">
        <f t="shared" si="102"/>
        <v/>
      </c>
      <c r="H113" s="347" t="str">
        <f t="shared" si="102"/>
        <v>Adler Nürnberg 1</v>
      </c>
      <c r="I113" s="348" t="str">
        <f t="shared" si="102"/>
        <v/>
      </c>
      <c r="J113" s="347" t="str">
        <f t="shared" si="102"/>
        <v>Castra Regina Regensburg 2</v>
      </c>
      <c r="K113" s="348" t="str">
        <f t="shared" si="102"/>
        <v/>
      </c>
      <c r="L113" s="347" t="str">
        <f>IF(AC113=0,"",AC113)</f>
        <v>Kings Club Bayreuth Land 2</v>
      </c>
      <c r="M113" s="348" t="str">
        <f>IF(AD113=0,"",AD113)</f>
        <v/>
      </c>
      <c r="N113" s="349"/>
      <c r="O113" s="349"/>
      <c r="S113" s="4"/>
      <c r="T113" s="1"/>
      <c r="U113" s="347" t="str">
        <f>VLOOKUP(U112,Schlüssel!$A$5:$K$10,2)</f>
        <v>Herzogenaurach 1</v>
      </c>
      <c r="V113" s="348"/>
      <c r="W113" s="347" t="str">
        <f>VLOOKUP(W112,Schlüssel!$A$5:$K$10,2)</f>
        <v>Castra Regina Regensburg 3</v>
      </c>
      <c r="X113" s="348"/>
      <c r="Y113" s="347" t="str">
        <f>VLOOKUP(Y112,Schlüssel!$A$5:$K$10,2)</f>
        <v>Adler Nürnberg 1</v>
      </c>
      <c r="Z113" s="348"/>
      <c r="AA113" s="347" t="str">
        <f>VLOOKUP(AA112,Schlüssel!$A$5:$K$10,2)</f>
        <v>Castra Regina Regensburg 2</v>
      </c>
      <c r="AB113" s="348"/>
      <c r="AC113" s="347" t="str">
        <f>VLOOKUP(AC112,Schlüssel!$A$5:$K$10,2)</f>
        <v>Kings Club Bayreuth Land 2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2"/>
        <v/>
      </c>
      <c r="C114" s="1" t="str">
        <f t="shared" si="102"/>
        <v/>
      </c>
      <c r="D114" s="346" t="str">
        <f t="shared" si="102"/>
        <v/>
      </c>
      <c r="E114" s="346" t="str">
        <f t="shared" si="102"/>
        <v/>
      </c>
      <c r="F114" s="346" t="str">
        <f t="shared" si="102"/>
        <v/>
      </c>
      <c r="G114" s="346" t="str">
        <f t="shared" si="102"/>
        <v/>
      </c>
      <c r="H114" s="346" t="str">
        <f t="shared" si="102"/>
        <v/>
      </c>
      <c r="I114" s="346" t="str">
        <f t="shared" si="102"/>
        <v/>
      </c>
      <c r="J114" s="346" t="str">
        <f t="shared" si="102"/>
        <v/>
      </c>
      <c r="K114" s="346" t="str">
        <f t="shared" si="102"/>
        <v/>
      </c>
      <c r="L114" s="346" t="str">
        <f>IF(AC114=0,"",AC114)</f>
        <v/>
      </c>
      <c r="M114" s="346" t="str">
        <f>IF(AD114=0,"",AD114)</f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ref="B115:C119" si="103">IF(S115=0,"",S115)</f>
        <v>Spieler 1</v>
      </c>
      <c r="C115" s="372" t="str">
        <f t="shared" si="103"/>
        <v/>
      </c>
      <c r="D115" s="344">
        <f>IF(U115=301,"",U115)</f>
        <v>181</v>
      </c>
      <c r="E115" s="344" t="str">
        <f>IF(V115=0,"",V115)</f>
        <v/>
      </c>
      <c r="F115" s="344">
        <f>IF(W115=301,"",W115)</f>
        <v>188</v>
      </c>
      <c r="G115" s="344" t="str">
        <f>IF(X115=0,"",X115)</f>
        <v/>
      </c>
      <c r="H115" s="344">
        <f>IF(Y115=301,"",Y115)</f>
        <v>141</v>
      </c>
      <c r="I115" s="344" t="str">
        <f>IF(Z115=0,"",Z115)</f>
        <v/>
      </c>
      <c r="J115" s="344">
        <f>IF(AA115=301,"",AA115)</f>
        <v>173</v>
      </c>
      <c r="K115" s="344" t="str">
        <f>IF(AB115=0,"",AB115)</f>
        <v/>
      </c>
      <c r="L115" s="344">
        <f>IF(AC115=301,"",AC115)</f>
        <v>163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181</v>
      </c>
      <c r="V115" s="368"/>
      <c r="W115" s="367">
        <f>ABS(INDEX(W:W,MATCH(W112,$S:$S,0)+5)+INDEX(W:W,MATCH(W112,$S:$S,0)+6)+INDEX(W:W,MATCH(W112,$S:$S,0)+7))</f>
        <v>188</v>
      </c>
      <c r="X115" s="368"/>
      <c r="Y115" s="367">
        <f>ABS(INDEX(Y:Y,MATCH(Y112,$S:$S,0)+5)+INDEX(Y:Y,MATCH(Y112,$S:$S,0)+6)+INDEX(Y:Y,MATCH(Y112,$S:$S,0)+7))</f>
        <v>141</v>
      </c>
      <c r="Z115" s="368"/>
      <c r="AA115" s="367">
        <f>ABS(INDEX(AA:AA,MATCH(AA112,$S:$S,0)+5)+INDEX(AA:AA,MATCH(AA112,$S:$S,0)+6)+INDEX(AA:AA,MATCH(AA112,$S:$S,0)+7))</f>
        <v>173</v>
      </c>
      <c r="AB115" s="368"/>
      <c r="AC115" s="367">
        <f>ABS(INDEX(AC:AC,MATCH(AC112,$S:$S,0)+5)+INDEX(AC:AC,MATCH(AC112,$S:$S,0)+6)+INDEX(AC:AC,MATCH(AC112,$S:$S,0)+7))</f>
        <v>163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3"/>
        <v>Spieler 2</v>
      </c>
      <c r="C116" s="372" t="str">
        <f t="shared" si="103"/>
        <v/>
      </c>
      <c r="D116" s="344">
        <f>IF(U116=301,"",U116)</f>
        <v>214</v>
      </c>
      <c r="E116" s="344" t="str">
        <f>IF(V116=0,"",V116)</f>
        <v/>
      </c>
      <c r="F116" s="344">
        <f>IF(W116=301,"",W116)</f>
        <v>130</v>
      </c>
      <c r="G116" s="344" t="str">
        <f>IF(X116=0,"",X116)</f>
        <v/>
      </c>
      <c r="H116" s="344">
        <f>IF(Y116=301,"",Y116)</f>
        <v>175</v>
      </c>
      <c r="I116" s="344" t="str">
        <f>IF(Z116=0,"",Z116)</f>
        <v/>
      </c>
      <c r="J116" s="344">
        <f>IF(AA116=301,"",AA116)</f>
        <v>173</v>
      </c>
      <c r="K116" s="344" t="str">
        <f>IF(AB116=0,"",AB116)</f>
        <v/>
      </c>
      <c r="L116" s="344">
        <f>IF(AC116=301,"",AC116)</f>
        <v>118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214</v>
      </c>
      <c r="V116" s="366"/>
      <c r="W116" s="365">
        <f>ABS(INDEX(W:W,MATCH(W112,$S:$S,0)+8)+INDEX(W:W,MATCH(W112,$S:$S,0)+9)+INDEX(W:W,MATCH(W112,$S:$S,0)+10))</f>
        <v>130</v>
      </c>
      <c r="X116" s="366"/>
      <c r="Y116" s="365">
        <f>ABS(INDEX(Y:Y,MATCH(Y112,$S:$S,0)+8)+INDEX(Y:Y,MATCH(Y112,$S:$S,0)+9)+INDEX(Y:Y,MATCH(Y112,$S:$S,0)+10))</f>
        <v>175</v>
      </c>
      <c r="Z116" s="366"/>
      <c r="AA116" s="365">
        <f>ABS(INDEX(AA:AA,MATCH(AA112,$S:$S,0)+8)+INDEX(AA:AA,MATCH(AA112,$S:$S,0)+9)+INDEX(AA:AA,MATCH(AA112,$S:$S,0)+10))</f>
        <v>173</v>
      </c>
      <c r="AB116" s="366"/>
      <c r="AC116" s="365">
        <f>ABS(INDEX(AC:AC,MATCH(AC112,$S:$S,0)+8)+INDEX(AC:AC,MATCH(AC112,$S:$S,0)+9)+INDEX(AC:AC,MATCH(AC112,$S:$S,0)+10))</f>
        <v>118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3"/>
        <v>Spieler 3</v>
      </c>
      <c r="C117" s="372" t="str">
        <f t="shared" si="103"/>
        <v/>
      </c>
      <c r="D117" s="344">
        <f>IF(U117=301,"",U117)</f>
        <v>178</v>
      </c>
      <c r="E117" s="344" t="str">
        <f>IF(V117=0,"",V117)</f>
        <v/>
      </c>
      <c r="F117" s="344">
        <f>IF(W117=301,"",W117)</f>
        <v>162</v>
      </c>
      <c r="G117" s="344" t="str">
        <f>IF(X117=0,"",X117)</f>
        <v/>
      </c>
      <c r="H117" s="344">
        <f>IF(Y117=301,"",Y117)</f>
        <v>172</v>
      </c>
      <c r="I117" s="344" t="str">
        <f>IF(Z117=0,"",Z117)</f>
        <v/>
      </c>
      <c r="J117" s="344">
        <f>IF(AA117=301,"",AA117)</f>
        <v>178</v>
      </c>
      <c r="K117" s="344" t="str">
        <f>IF(AB117=0,"",AB117)</f>
        <v/>
      </c>
      <c r="L117" s="344">
        <f>IF(AC117=301,"",AC117)</f>
        <v>227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178</v>
      </c>
      <c r="V117" s="366"/>
      <c r="W117" s="365">
        <f>ABS(INDEX(W:W,MATCH(W112,$S:$S,0)+11)+INDEX(W:W,MATCH(W112,$S:$S,0)+12)+INDEX(W:W,MATCH(W112,$S:$S,0)+13))</f>
        <v>162</v>
      </c>
      <c r="X117" s="366"/>
      <c r="Y117" s="365">
        <f>ABS(INDEX(Y:Y,MATCH(Y112,$S:$S,0)+11)+INDEX(Y:Y,MATCH(Y112,$S:$S,0)+12)+INDEX(Y:Y,MATCH(Y112,$S:$S,0)+13))</f>
        <v>172</v>
      </c>
      <c r="Z117" s="366"/>
      <c r="AA117" s="365">
        <f>ABS(INDEX(AA:AA,MATCH(AA112,$S:$S,0)+11)+INDEX(AA:AA,MATCH(AA112,$S:$S,0)+12)+INDEX(AA:AA,MATCH(AA112,$S:$S,0)+13))</f>
        <v>178</v>
      </c>
      <c r="AB117" s="366"/>
      <c r="AC117" s="365">
        <f>ABS(INDEX(AC:AC,MATCH(AC112,$S:$S,0)+11)+INDEX(AC:AC,MATCH(AC112,$S:$S,0)+12)+INDEX(AC:AC,MATCH(AC112,$S:$S,0)+13))</f>
        <v>227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3"/>
        <v>Spieler 4</v>
      </c>
      <c r="C118" s="372" t="str">
        <f t="shared" si="103"/>
        <v/>
      </c>
      <c r="D118" s="344">
        <f>IF(U118=301,"",U118)</f>
        <v>247</v>
      </c>
      <c r="E118" s="344" t="str">
        <f>IF(V118=0,"",V118)</f>
        <v/>
      </c>
      <c r="F118" s="344">
        <f>IF(W118=301,"",W118)</f>
        <v>165</v>
      </c>
      <c r="G118" s="344" t="str">
        <f>IF(X118=0,"",X118)</f>
        <v/>
      </c>
      <c r="H118" s="344">
        <f>IF(Y118=301,"",Y118)</f>
        <v>154</v>
      </c>
      <c r="I118" s="344" t="str">
        <f>IF(Z118=0,"",Z118)</f>
        <v/>
      </c>
      <c r="J118" s="344">
        <f>IF(AA118=301,"",AA118)</f>
        <v>189</v>
      </c>
      <c r="K118" s="344" t="str">
        <f>IF(AB118=0,"",AB118)</f>
        <v/>
      </c>
      <c r="L118" s="344">
        <f>IF(AC118=301,"",AC118)</f>
        <v>191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247</v>
      </c>
      <c r="V118" s="366"/>
      <c r="W118" s="365">
        <f>ABS(INDEX(W:W,MATCH(W112,$S:$S,0)+14)+INDEX(W:W,MATCH(W112,$S:$S,0)+15)+INDEX(W:W,MATCH(W112,$S:$S,0)+16))</f>
        <v>165</v>
      </c>
      <c r="X118" s="366"/>
      <c r="Y118" s="365">
        <f>ABS(INDEX(Y:Y,MATCH(Y112,$S:$S,0)+14)+INDEX(Y:Y,MATCH(Y112,$S:$S,0)+15)+INDEX(Y:Y,MATCH(Y112,$S:$S,0)+16))</f>
        <v>154</v>
      </c>
      <c r="Z118" s="366"/>
      <c r="AA118" s="365">
        <f>ABS(INDEX(AA:AA,MATCH(AA112,$S:$S,0)+14)+INDEX(AA:AA,MATCH(AA112,$S:$S,0)+15)+INDEX(AA:AA,MATCH(AA112,$S:$S,0)+16))</f>
        <v>189</v>
      </c>
      <c r="AB118" s="366"/>
      <c r="AC118" s="365">
        <f>ABS(INDEX(AC:AC,MATCH(AC112,$S:$S,0)+14)+INDEX(AC:AC,MATCH(AC112,$S:$S,0)+15)+INDEX(AC:AC,MATCH(AC112,$S:$S,0)+16))</f>
        <v>191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3"/>
        <v>Gesamt</v>
      </c>
      <c r="C119" s="360" t="str">
        <f t="shared" si="103"/>
        <v/>
      </c>
      <c r="D119" s="343">
        <f>IF(U119=1505,"",U119)</f>
        <v>820</v>
      </c>
      <c r="E119" s="343" t="str">
        <f>IF(V119=0,"",V119)</f>
        <v/>
      </c>
      <c r="F119" s="343">
        <f>IF(W119=1505,"",W119)</f>
        <v>645</v>
      </c>
      <c r="G119" s="343" t="str">
        <f>IF(X119=0,"",X119)</f>
        <v/>
      </c>
      <c r="H119" s="343">
        <f>IF(Y119=1505,"",Y119)</f>
        <v>642</v>
      </c>
      <c r="I119" s="343" t="str">
        <f>IF(Z119=0,"",Z119)</f>
        <v/>
      </c>
      <c r="J119" s="343">
        <f>IF(AA119=1505,"",AA119)</f>
        <v>713</v>
      </c>
      <c r="K119" s="343" t="str">
        <f>IF(AB119=0,"",AB119)</f>
        <v/>
      </c>
      <c r="L119" s="343">
        <f>IF(AC119=1505,"",AC119)</f>
        <v>699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820</v>
      </c>
      <c r="V119" s="360"/>
      <c r="W119" s="359">
        <f>SUM(W115:W118)</f>
        <v>645</v>
      </c>
      <c r="X119" s="360"/>
      <c r="Y119" s="359">
        <f>SUM(Y115:Y118)</f>
        <v>642</v>
      </c>
      <c r="Z119" s="360"/>
      <c r="AA119" s="359">
        <f>SUM(AA115:AA118)</f>
        <v>713</v>
      </c>
      <c r="AB119" s="360"/>
      <c r="AC119" s="359">
        <f>SUM(AC115:AC118)</f>
        <v>699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/>
      <c r="N121" s="376" t="str">
        <f>AD121</f>
        <v>13.04.</v>
      </c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Schlüssel!$CO$1</f>
        <v>13.04.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">
        <v>1786</v>
      </c>
      <c r="E122" s="84" t="str">
        <f>V122</f>
        <v>Nürnberg West Bowling</v>
      </c>
      <c r="F122" s="77"/>
      <c r="G122" s="77"/>
      <c r="H122" s="77"/>
      <c r="I122" s="77"/>
      <c r="J122" s="77"/>
      <c r="K122" s="77"/>
      <c r="L122" s="29" t="s">
        <v>1784</v>
      </c>
      <c r="M122" s="86">
        <v>5</v>
      </c>
      <c r="N122" s="28"/>
      <c r="R122" s="49"/>
      <c r="S122" s="50">
        <v>5</v>
      </c>
      <c r="U122" s="30" t="s">
        <v>1786</v>
      </c>
      <c r="V122" s="84" t="str">
        <f>Schlüssel!$CE$2</f>
        <v>Nürnberg West Bowling</v>
      </c>
      <c r="X122" s="77"/>
      <c r="Y122" s="77"/>
      <c r="Z122" s="77"/>
      <c r="AA122" s="77"/>
      <c r="AB122" s="77"/>
      <c r="AC122" s="29" t="s">
        <v>1784</v>
      </c>
      <c r="AD122" s="34">
        <v>5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VLOOKUP(S122,Schlüssel!$A$5:$DZ$10,93)</f>
        <v>6</v>
      </c>
      <c r="W124" s="193" t="s">
        <v>10</v>
      </c>
      <c r="X124" s="191">
        <f>VLOOKUP(S122,Schlüssel!$A$5:$DZ$10,94)</f>
        <v>4</v>
      </c>
      <c r="Y124" s="193" t="s">
        <v>10</v>
      </c>
      <c r="Z124" s="191">
        <f>VLOOKUP(S122,Schlüssel!$A$5:$DZ$10,95)</f>
        <v>8</v>
      </c>
      <c r="AA124" s="193" t="s">
        <v>10</v>
      </c>
      <c r="AB124" s="191">
        <f>VLOOKUP(S122,Schlüssel!$A$5:$DZ$10,96)</f>
        <v>5</v>
      </c>
      <c r="AC124" s="193" t="s">
        <v>10</v>
      </c>
      <c r="AD124" s="192">
        <f>VLOOKUP(S122,Schlüssel!$A$5:$DZ$10,97)</f>
        <v>3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>Simon, Steven</v>
      </c>
      <c r="C127" s="18">
        <f>IF(T127=0,"",T127)</f>
        <v>38571</v>
      </c>
      <c r="D127" s="14">
        <f>IF(U127=0,"",U127)</f>
        <v>202</v>
      </c>
      <c r="E127" s="352">
        <f>IF(V127="","",V127)</f>
        <v>1</v>
      </c>
      <c r="F127" s="14">
        <f t="shared" ref="F127:F140" si="104">IF(W127=0,"",W127)</f>
        <v>161</v>
      </c>
      <c r="G127" s="352">
        <f>IF(X127="","",X127)</f>
        <v>0.5</v>
      </c>
      <c r="H127" s="14">
        <f t="shared" ref="H127:H140" si="105">IF(Y127=0,"",Y127)</f>
        <v>222</v>
      </c>
      <c r="I127" s="352">
        <f>IF(Z127="","",Z127)</f>
        <v>1</v>
      </c>
      <c r="J127" s="14">
        <f t="shared" ref="J127:J140" si="106">IF(AA127=0,"",AA127)</f>
        <v>173</v>
      </c>
      <c r="K127" s="352">
        <f>IF(AB127="","",AB127)</f>
        <v>1</v>
      </c>
      <c r="L127" s="14">
        <f t="shared" ref="L127:L140" si="107">IF(AC127=0,"",AC127)</f>
        <v>172</v>
      </c>
      <c r="M127" s="352">
        <f>IF(AD127="","",AD127)</f>
        <v>0</v>
      </c>
      <c r="N127" s="14">
        <f t="shared" ref="N127:N140" si="108">IF(AE127=0,"",AE127)</f>
        <v>930</v>
      </c>
      <c r="O127" s="352">
        <f>IF(AF127="","",AF127)</f>
        <v>3.5</v>
      </c>
      <c r="R127" s="355" t="s">
        <v>0</v>
      </c>
      <c r="S127" s="68" t="str">
        <f>IF(T127=0,"",VLOOKUP(T127,Starter!$A$1:$D$196,2,FALSE))</f>
        <v>Simon, Steven</v>
      </c>
      <c r="T127" s="175">
        <v>38571</v>
      </c>
      <c r="U127" s="183">
        <v>202</v>
      </c>
      <c r="V127" s="95">
        <f>IF(SUM(U127:U129)+U145=0,0,IF(ABS(SUM(U127:U129))=U145,0.5,IF(ABS(SUM(U127:U129))&gt;U145,1,0)))</f>
        <v>1</v>
      </c>
      <c r="W127" s="183">
        <v>161</v>
      </c>
      <c r="X127" s="95">
        <f>IF(SUM(W127:W129)+W145=0,0,IF(ABS(SUM(W127:W129))=W145,0.5,IF(ABS(SUM(W127:W129))&gt;W145,1,0)))</f>
        <v>0.5</v>
      </c>
      <c r="Y127" s="183">
        <v>222</v>
      </c>
      <c r="Z127" s="95">
        <f>IF(SUM(Y127:Y129)+Y145=0,0,IF(ABS(SUM(Y127:Y129))=Y145,0.5,IF(ABS(SUM(Y127:Y129))&gt;Y145,1,0)))</f>
        <v>1</v>
      </c>
      <c r="AA127" s="189">
        <v>173</v>
      </c>
      <c r="AB127" s="95">
        <f>IF(SUM(AA127:AA129)+AA145=0,0,IF(ABS(SUM(AA127:AA129))=AA145,0.5,IF(ABS(SUM(AA127:AA129))&gt;AA145,1,0)))</f>
        <v>1</v>
      </c>
      <c r="AC127" s="183">
        <v>172</v>
      </c>
      <c r="AD127" s="95">
        <f>IF(SUM(AC127:AC129)+AC145=0,0,IF(ABS(SUM(AC127:AC129))=AC145,0.5,IF(ABS(SUM(AC127:AC129))&gt;AC145,1,0)))</f>
        <v>0</v>
      </c>
      <c r="AE127" s="195">
        <f t="shared" ref="AE127:AE138" si="109">ABS(SUM(U127:U127))+ABS(SUM(W127:W127))+ABS(SUM(Y127:Y127))+ABS(SUM(AA127:AA127))+ABS(SUM(AC127:AC127))</f>
        <v>930</v>
      </c>
      <c r="AF127" s="180">
        <f>SUM(V127+X127+Z127+AB127+AD127)</f>
        <v>3.5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0">T127</f>
        <v>38571</v>
      </c>
      <c r="BE127" s="213">
        <f t="shared" ref="BE127:BE138" si="111">AE127</f>
        <v>930</v>
      </c>
      <c r="BF127" s="215">
        <f t="shared" ref="BF127:BF138" si="112">COUNT(BH127:BL127)</f>
        <v>5</v>
      </c>
      <c r="BG127" s="215">
        <f t="shared" ref="BG127:BG138" si="113">COUNTIF(BH127:BL127,"&gt;0")</f>
        <v>5</v>
      </c>
      <c r="BH127" s="215">
        <f t="shared" ref="BH127:BH138" si="114">IF(U127=0,"",U127)</f>
        <v>202</v>
      </c>
      <c r="BI127" s="215">
        <f t="shared" ref="BI127:BI138" si="115">IF(W127=0,"",W127)</f>
        <v>161</v>
      </c>
      <c r="BJ127" s="215">
        <f t="shared" ref="BJ127:BJ138" si="116">IF(Y127=0,"",Y127)</f>
        <v>222</v>
      </c>
      <c r="BK127" s="215">
        <f t="shared" ref="BK127:BK138" si="117">IF(AA127=0,"",AA127)</f>
        <v>173</v>
      </c>
      <c r="BL127" s="215">
        <f t="shared" ref="BL127:BL138" si="118">IF(AC127=0,"",AC127)</f>
        <v>172</v>
      </c>
      <c r="BM127" s="216"/>
      <c r="BN127" s="214"/>
      <c r="BO127" s="215">
        <f t="shared" ref="BO127:BO138" si="119">MAX(BH127:BL127)</f>
        <v>222</v>
      </c>
      <c r="BP127" s="215">
        <f t="shared" ref="BP127:BP138" si="120">IF(BO127&lt;MAX(BO:BO),0,BO127+ROW()/1000000000)</f>
        <v>0</v>
      </c>
      <c r="BQ127" s="215" t="str">
        <f>+S123</f>
        <v>Castra Regina Regensburg 2</v>
      </c>
      <c r="BR127" s="214">
        <f t="shared" ref="BR127:BR138" si="121">RANK(BP127,BP:BP)</f>
        <v>2</v>
      </c>
      <c r="BS127" s="215">
        <f t="shared" ref="BS127:BS138" si="122">SUMIF(BH127:BL127,"&gt;0")</f>
        <v>930</v>
      </c>
      <c r="BT127" s="215">
        <f>IF(COUNTIF(BH127:BL127,"&gt;0")&lt;Spielorte!$A$23,0,BE127/Spielorte!$A$23)</f>
        <v>186</v>
      </c>
      <c r="BU127" s="215">
        <f t="shared" ref="BU127:BU138" si="123">IF(BT127&lt;MAX(BT:BT),0,BT127+ROW()/1000000000)</f>
        <v>0</v>
      </c>
      <c r="BV127" s="214">
        <f t="shared" ref="BV127:BV138" si="124">IF(BU127=0,0,RANK(BU127,BU:BU))</f>
        <v>0</v>
      </c>
    </row>
    <row r="128" spans="1:74" ht="17.100000000000001" customHeight="1" x14ac:dyDescent="0.2">
      <c r="A128" s="374"/>
      <c r="B128" s="19" t="str">
        <f t="shared" ref="B128:D140" si="125">IF(S128=0,"",S128)</f>
        <v/>
      </c>
      <c r="C128" s="20" t="str">
        <f t="shared" si="125"/>
        <v/>
      </c>
      <c r="D128" s="15" t="str">
        <f t="shared" si="125"/>
        <v/>
      </c>
      <c r="E128" s="353"/>
      <c r="F128" s="15" t="str">
        <f t="shared" si="104"/>
        <v/>
      </c>
      <c r="G128" s="353"/>
      <c r="H128" s="15" t="str">
        <f t="shared" si="105"/>
        <v/>
      </c>
      <c r="I128" s="353"/>
      <c r="J128" s="15" t="str">
        <f t="shared" si="106"/>
        <v/>
      </c>
      <c r="K128" s="353"/>
      <c r="L128" s="15" t="str">
        <f t="shared" si="107"/>
        <v/>
      </c>
      <c r="M128" s="353"/>
      <c r="N128" s="15" t="str">
        <f t="shared" si="108"/>
        <v/>
      </c>
      <c r="O128" s="353"/>
      <c r="R128" s="356"/>
      <c r="S128" s="68" t="str">
        <f>IF(T128=0,"",VLOOKUP(T128,Starter!$A$1:$D$196,2,FALSE))</f>
        <v/>
      </c>
      <c r="T128" s="176"/>
      <c r="U128" s="184"/>
      <c r="V128" s="96"/>
      <c r="W128" s="184"/>
      <c r="X128" s="96"/>
      <c r="Y128" s="184"/>
      <c r="Z128" s="96"/>
      <c r="AA128" s="184"/>
      <c r="AB128" s="96"/>
      <c r="AC128" s="184"/>
      <c r="AD128" s="96"/>
      <c r="AE128" s="196">
        <f t="shared" si="109"/>
        <v>0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0"/>
        <v>0</v>
      </c>
      <c r="BE128" s="213">
        <f t="shared" si="111"/>
        <v>0</v>
      </c>
      <c r="BF128" s="215">
        <f t="shared" si="112"/>
        <v>0</v>
      </c>
      <c r="BG128" s="215">
        <f t="shared" si="113"/>
        <v>0</v>
      </c>
      <c r="BH128" s="215" t="str">
        <f t="shared" si="114"/>
        <v/>
      </c>
      <c r="BI128" s="215" t="str">
        <f t="shared" si="115"/>
        <v/>
      </c>
      <c r="BJ128" s="215" t="str">
        <f t="shared" si="116"/>
        <v/>
      </c>
      <c r="BK128" s="215" t="str">
        <f t="shared" si="117"/>
        <v/>
      </c>
      <c r="BL128" s="215" t="str">
        <f t="shared" si="118"/>
        <v/>
      </c>
      <c r="BM128" s="216"/>
      <c r="BN128" s="214"/>
      <c r="BO128" s="215">
        <f t="shared" si="119"/>
        <v>0</v>
      </c>
      <c r="BP128" s="215">
        <f t="shared" si="120"/>
        <v>0</v>
      </c>
      <c r="BQ128" s="215" t="str">
        <f t="shared" ref="BQ128:BQ138" si="126">+BQ127</f>
        <v>Castra Regina Regensburg 2</v>
      </c>
      <c r="BR128" s="214">
        <f t="shared" si="121"/>
        <v>2</v>
      </c>
      <c r="BS128" s="215">
        <f t="shared" si="122"/>
        <v>0</v>
      </c>
      <c r="BT128" s="215">
        <f>IF(COUNTIF(BH128:BL128,"&gt;0")&lt;Spielorte!$A$23,0,BE128/Spielorte!$A$23)</f>
        <v>0</v>
      </c>
      <c r="BU128" s="215">
        <f t="shared" si="123"/>
        <v>0</v>
      </c>
      <c r="BV128" s="214">
        <f t="shared" si="124"/>
        <v>0</v>
      </c>
    </row>
    <row r="129" spans="1:74" ht="17.100000000000001" customHeight="1" thickBot="1" x14ac:dyDescent="0.25">
      <c r="A129" s="375"/>
      <c r="B129" s="21" t="str">
        <f t="shared" si="125"/>
        <v/>
      </c>
      <c r="C129" s="22" t="str">
        <f t="shared" si="125"/>
        <v/>
      </c>
      <c r="D129" s="9" t="str">
        <f t="shared" si="125"/>
        <v/>
      </c>
      <c r="E129" s="354"/>
      <c r="F129" s="9" t="str">
        <f t="shared" si="104"/>
        <v/>
      </c>
      <c r="G129" s="354"/>
      <c r="H129" s="9" t="str">
        <f t="shared" si="105"/>
        <v/>
      </c>
      <c r="I129" s="354"/>
      <c r="J129" s="9" t="str">
        <f t="shared" si="106"/>
        <v/>
      </c>
      <c r="K129" s="354"/>
      <c r="L129" s="9" t="str">
        <f t="shared" si="107"/>
        <v/>
      </c>
      <c r="M129" s="354"/>
      <c r="N129" s="9" t="str">
        <f t="shared" si="108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09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0"/>
        <v>0</v>
      </c>
      <c r="BE129" s="213">
        <f t="shared" si="111"/>
        <v>0</v>
      </c>
      <c r="BF129" s="215">
        <f t="shared" si="112"/>
        <v>0</v>
      </c>
      <c r="BG129" s="215">
        <f t="shared" si="113"/>
        <v>0</v>
      </c>
      <c r="BH129" s="215" t="str">
        <f t="shared" si="114"/>
        <v/>
      </c>
      <c r="BI129" s="215" t="str">
        <f t="shared" si="115"/>
        <v/>
      </c>
      <c r="BJ129" s="215" t="str">
        <f t="shared" si="116"/>
        <v/>
      </c>
      <c r="BK129" s="215" t="str">
        <f t="shared" si="117"/>
        <v/>
      </c>
      <c r="BL129" s="215" t="str">
        <f t="shared" si="118"/>
        <v/>
      </c>
      <c r="BM129" s="216"/>
      <c r="BN129" s="214"/>
      <c r="BO129" s="215">
        <f t="shared" si="119"/>
        <v>0</v>
      </c>
      <c r="BP129" s="215">
        <f t="shared" si="120"/>
        <v>0</v>
      </c>
      <c r="BQ129" s="215" t="str">
        <f t="shared" si="126"/>
        <v>Castra Regina Regensburg 2</v>
      </c>
      <c r="BR129" s="214">
        <f t="shared" si="121"/>
        <v>2</v>
      </c>
      <c r="BS129" s="215">
        <f t="shared" si="122"/>
        <v>0</v>
      </c>
      <c r="BT129" s="215">
        <f>IF(COUNTIF(BH129:BL129,"&gt;0")&lt;Spielorte!$A$23,0,BE129/Spielorte!$A$23)</f>
        <v>0</v>
      </c>
      <c r="BU129" s="215">
        <f t="shared" si="123"/>
        <v>0</v>
      </c>
      <c r="BV129" s="214">
        <f t="shared" si="124"/>
        <v>0</v>
      </c>
    </row>
    <row r="130" spans="1:74" ht="17.100000000000001" customHeight="1" x14ac:dyDescent="0.2">
      <c r="A130" s="373" t="s">
        <v>2</v>
      </c>
      <c r="B130" s="17" t="str">
        <f t="shared" si="125"/>
        <v>Martin, Dennis</v>
      </c>
      <c r="C130" s="18">
        <f t="shared" si="125"/>
        <v>38870</v>
      </c>
      <c r="D130" s="14">
        <f t="shared" si="125"/>
        <v>180</v>
      </c>
      <c r="E130" s="352">
        <f>IF(V130="","",V130)</f>
        <v>1</v>
      </c>
      <c r="F130" s="14">
        <f t="shared" si="104"/>
        <v>202</v>
      </c>
      <c r="G130" s="352">
        <f>IF(X130="","",X130)</f>
        <v>1</v>
      </c>
      <c r="H130" s="14">
        <f t="shared" si="105"/>
        <v>182</v>
      </c>
      <c r="I130" s="352">
        <f>IF(Z130="","",Z130)</f>
        <v>1</v>
      </c>
      <c r="J130" s="14">
        <f t="shared" si="106"/>
        <v>173</v>
      </c>
      <c r="K130" s="352">
        <f>IF(AB130="","",AB130)</f>
        <v>1</v>
      </c>
      <c r="L130" s="14">
        <f t="shared" si="107"/>
        <v>190</v>
      </c>
      <c r="M130" s="352">
        <f>IF(AD130="","",AD130)</f>
        <v>1</v>
      </c>
      <c r="N130" s="14">
        <f t="shared" si="108"/>
        <v>927</v>
      </c>
      <c r="O130" s="352">
        <f>IF(AF130="","",AF130)</f>
        <v>5</v>
      </c>
      <c r="R130" s="355" t="s">
        <v>2</v>
      </c>
      <c r="S130" s="68" t="str">
        <f>IF(T130=0,"",VLOOKUP(T130,Starter!$A$1:$D$196,2,FALSE))</f>
        <v>Martin, Dennis</v>
      </c>
      <c r="T130" s="178">
        <v>38870</v>
      </c>
      <c r="U130" s="186">
        <v>180</v>
      </c>
      <c r="V130" s="95">
        <f>IF(SUM(U130:U132)+U146=0,0,IF(ABS(SUM(U130:U132))=U146,0.5,IF(ABS(SUM(U130:U132))&gt;U146,1,0)))</f>
        <v>1</v>
      </c>
      <c r="W130" s="186">
        <v>202</v>
      </c>
      <c r="X130" s="95">
        <f>IF(SUM(W130:W132)+W146=0,0,IF(ABS(SUM(W130:W132))=W146,0.5,IF(ABS(SUM(W130:W132))&gt;W146,1,0)))</f>
        <v>1</v>
      </c>
      <c r="Y130" s="186">
        <v>182</v>
      </c>
      <c r="Z130" s="95">
        <f>IF(SUM(Y130:Y132)+Y146=0,0,IF(ABS(SUM(Y130:Y132))=Y146,0.5,IF(ABS(SUM(Y130:Y132))&gt;Y146,1,0)))</f>
        <v>1</v>
      </c>
      <c r="AA130" s="186">
        <v>173</v>
      </c>
      <c r="AB130" s="95">
        <f>IF(SUM(AA130:AA132)+AA146=0,0,IF(ABS(SUM(AA130:AA132))=AA146,0.5,IF(ABS(SUM(AA130:AA132))&gt;AA146,1,0)))</f>
        <v>1</v>
      </c>
      <c r="AC130" s="186">
        <v>190</v>
      </c>
      <c r="AD130" s="95">
        <f>IF(SUM(AC130:AC132)+AC146=0,0,IF(ABS(SUM(AC130:AC132))=AC146,0.5,IF(ABS(SUM(AC130:AC132))&gt;AC146,1,0)))</f>
        <v>1</v>
      </c>
      <c r="AE130" s="195">
        <f t="shared" si="109"/>
        <v>927</v>
      </c>
      <c r="AF130" s="180">
        <f>SUM(V130+X130+Z130+AB130+AD130)</f>
        <v>5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0"/>
        <v>38870</v>
      </c>
      <c r="BE130" s="213">
        <f t="shared" si="111"/>
        <v>927</v>
      </c>
      <c r="BF130" s="215">
        <f t="shared" si="112"/>
        <v>5</v>
      </c>
      <c r="BG130" s="215">
        <f t="shared" si="113"/>
        <v>5</v>
      </c>
      <c r="BH130" s="215">
        <f t="shared" si="114"/>
        <v>180</v>
      </c>
      <c r="BI130" s="215">
        <f t="shared" si="115"/>
        <v>202</v>
      </c>
      <c r="BJ130" s="215">
        <f t="shared" si="116"/>
        <v>182</v>
      </c>
      <c r="BK130" s="215">
        <f t="shared" si="117"/>
        <v>173</v>
      </c>
      <c r="BL130" s="215">
        <f t="shared" si="118"/>
        <v>190</v>
      </c>
      <c r="BM130" s="216"/>
      <c r="BN130" s="214"/>
      <c r="BO130" s="215">
        <f t="shared" si="119"/>
        <v>202</v>
      </c>
      <c r="BP130" s="215">
        <f t="shared" si="120"/>
        <v>0</v>
      </c>
      <c r="BQ130" s="215" t="str">
        <f t="shared" si="126"/>
        <v>Castra Regina Regensburg 2</v>
      </c>
      <c r="BR130" s="214">
        <f t="shared" si="121"/>
        <v>2</v>
      </c>
      <c r="BS130" s="215">
        <f t="shared" si="122"/>
        <v>927</v>
      </c>
      <c r="BT130" s="215">
        <f>IF(COUNTIF(BH130:BL130,"&gt;0")&lt;Spielorte!$A$23,0,BE130/Spielorte!$A$23)</f>
        <v>185.4</v>
      </c>
      <c r="BU130" s="215">
        <f t="shared" si="123"/>
        <v>0</v>
      </c>
      <c r="BV130" s="214">
        <f t="shared" si="124"/>
        <v>0</v>
      </c>
    </row>
    <row r="131" spans="1:74" ht="17.100000000000001" customHeight="1" x14ac:dyDescent="0.2">
      <c r="A131" s="374"/>
      <c r="B131" s="19" t="str">
        <f t="shared" si="125"/>
        <v/>
      </c>
      <c r="C131" s="20" t="str">
        <f t="shared" si="125"/>
        <v/>
      </c>
      <c r="D131" s="15" t="str">
        <f t="shared" si="125"/>
        <v/>
      </c>
      <c r="E131" s="353"/>
      <c r="F131" s="15" t="str">
        <f t="shared" si="104"/>
        <v/>
      </c>
      <c r="G131" s="353"/>
      <c r="H131" s="15" t="str">
        <f t="shared" si="105"/>
        <v/>
      </c>
      <c r="I131" s="353"/>
      <c r="J131" s="15" t="str">
        <f t="shared" si="106"/>
        <v/>
      </c>
      <c r="K131" s="353"/>
      <c r="L131" s="15" t="str">
        <f t="shared" si="107"/>
        <v/>
      </c>
      <c r="M131" s="353"/>
      <c r="N131" s="15" t="str">
        <f t="shared" si="108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09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0"/>
        <v>0</v>
      </c>
      <c r="BE131" s="213">
        <f t="shared" si="111"/>
        <v>0</v>
      </c>
      <c r="BF131" s="215">
        <f t="shared" si="112"/>
        <v>0</v>
      </c>
      <c r="BG131" s="215">
        <f t="shared" si="113"/>
        <v>0</v>
      </c>
      <c r="BH131" s="215" t="str">
        <f t="shared" si="114"/>
        <v/>
      </c>
      <c r="BI131" s="215" t="str">
        <f t="shared" si="115"/>
        <v/>
      </c>
      <c r="BJ131" s="215" t="str">
        <f t="shared" si="116"/>
        <v/>
      </c>
      <c r="BK131" s="215" t="str">
        <f t="shared" si="117"/>
        <v/>
      </c>
      <c r="BL131" s="215" t="str">
        <f t="shared" si="118"/>
        <v/>
      </c>
      <c r="BM131" s="216"/>
      <c r="BN131" s="214"/>
      <c r="BO131" s="215">
        <f t="shared" si="119"/>
        <v>0</v>
      </c>
      <c r="BP131" s="215">
        <f t="shared" si="120"/>
        <v>0</v>
      </c>
      <c r="BQ131" s="215" t="str">
        <f t="shared" si="126"/>
        <v>Castra Regina Regensburg 2</v>
      </c>
      <c r="BR131" s="214">
        <f t="shared" si="121"/>
        <v>2</v>
      </c>
      <c r="BS131" s="215">
        <f t="shared" si="122"/>
        <v>0</v>
      </c>
      <c r="BT131" s="215">
        <f>IF(COUNTIF(BH131:BL131,"&gt;0")&lt;Spielorte!$A$23,0,BE131/Spielorte!$A$23)</f>
        <v>0</v>
      </c>
      <c r="BU131" s="215">
        <f t="shared" si="123"/>
        <v>0</v>
      </c>
      <c r="BV131" s="214">
        <f t="shared" si="124"/>
        <v>0</v>
      </c>
    </row>
    <row r="132" spans="1:74" ht="17.100000000000001" customHeight="1" thickBot="1" x14ac:dyDescent="0.25">
      <c r="A132" s="375"/>
      <c r="B132" s="21" t="str">
        <f t="shared" si="125"/>
        <v/>
      </c>
      <c r="C132" s="22" t="str">
        <f t="shared" si="125"/>
        <v/>
      </c>
      <c r="D132" s="9" t="str">
        <f t="shared" si="125"/>
        <v/>
      </c>
      <c r="E132" s="354"/>
      <c r="F132" s="9" t="str">
        <f t="shared" si="104"/>
        <v/>
      </c>
      <c r="G132" s="354"/>
      <c r="H132" s="9" t="str">
        <f t="shared" si="105"/>
        <v/>
      </c>
      <c r="I132" s="354"/>
      <c r="J132" s="9" t="str">
        <f t="shared" si="106"/>
        <v/>
      </c>
      <c r="K132" s="354"/>
      <c r="L132" s="9" t="str">
        <f t="shared" si="107"/>
        <v/>
      </c>
      <c r="M132" s="354"/>
      <c r="N132" s="9" t="str">
        <f t="shared" si="108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09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0"/>
        <v>0</v>
      </c>
      <c r="BE132" s="213">
        <f t="shared" si="111"/>
        <v>0</v>
      </c>
      <c r="BF132" s="215">
        <f t="shared" si="112"/>
        <v>0</v>
      </c>
      <c r="BG132" s="215">
        <f t="shared" si="113"/>
        <v>0</v>
      </c>
      <c r="BH132" s="215" t="str">
        <f t="shared" si="114"/>
        <v/>
      </c>
      <c r="BI132" s="215" t="str">
        <f t="shared" si="115"/>
        <v/>
      </c>
      <c r="BJ132" s="215" t="str">
        <f t="shared" si="116"/>
        <v/>
      </c>
      <c r="BK132" s="215" t="str">
        <f t="shared" si="117"/>
        <v/>
      </c>
      <c r="BL132" s="215" t="str">
        <f t="shared" si="118"/>
        <v/>
      </c>
      <c r="BM132" s="216"/>
      <c r="BN132" s="214"/>
      <c r="BO132" s="215">
        <f t="shared" si="119"/>
        <v>0</v>
      </c>
      <c r="BP132" s="215">
        <f t="shared" si="120"/>
        <v>0</v>
      </c>
      <c r="BQ132" s="215" t="str">
        <f t="shared" si="126"/>
        <v>Castra Regina Regensburg 2</v>
      </c>
      <c r="BR132" s="214">
        <f t="shared" si="121"/>
        <v>2</v>
      </c>
      <c r="BS132" s="215">
        <f t="shared" si="122"/>
        <v>0</v>
      </c>
      <c r="BT132" s="215">
        <f>IF(COUNTIF(BH132:BL132,"&gt;0")&lt;Spielorte!$A$23,0,BE132/Spielorte!$A$23)</f>
        <v>0</v>
      </c>
      <c r="BU132" s="215">
        <f t="shared" si="123"/>
        <v>0</v>
      </c>
      <c r="BV132" s="214">
        <f t="shared" si="124"/>
        <v>0</v>
      </c>
    </row>
    <row r="133" spans="1:74" ht="17.100000000000001" customHeight="1" x14ac:dyDescent="0.2">
      <c r="A133" s="373" t="s">
        <v>3</v>
      </c>
      <c r="B133" s="17" t="str">
        <f t="shared" si="125"/>
        <v>Gilch, Stefan</v>
      </c>
      <c r="C133" s="18">
        <f t="shared" si="125"/>
        <v>25895</v>
      </c>
      <c r="D133" s="14">
        <f t="shared" si="125"/>
        <v>225</v>
      </c>
      <c r="E133" s="352">
        <f>IF(V133="","",V133)</f>
        <v>1</v>
      </c>
      <c r="F133" s="14">
        <f t="shared" si="104"/>
        <v>182</v>
      </c>
      <c r="G133" s="352">
        <f>IF(X133="","",X133)</f>
        <v>1</v>
      </c>
      <c r="H133" s="14">
        <f t="shared" si="105"/>
        <v>182</v>
      </c>
      <c r="I133" s="352">
        <f>IF(Z133="","",Z133)</f>
        <v>1</v>
      </c>
      <c r="J133" s="14">
        <f t="shared" si="106"/>
        <v>178</v>
      </c>
      <c r="K133" s="352">
        <f>IF(AB133="","",AB133)</f>
        <v>1</v>
      </c>
      <c r="L133" s="14">
        <f t="shared" si="107"/>
        <v>173</v>
      </c>
      <c r="M133" s="352">
        <f>IF(AD133="","",AD133)</f>
        <v>0</v>
      </c>
      <c r="N133" s="14">
        <f t="shared" si="108"/>
        <v>940</v>
      </c>
      <c r="O133" s="352">
        <f>IF(AF133="","",AF133)</f>
        <v>4</v>
      </c>
      <c r="R133" s="355" t="s">
        <v>3</v>
      </c>
      <c r="S133" s="68" t="str">
        <f>IF(T133=0,"",VLOOKUP(T133,Starter!$A$1:$D$196,2,FALSE))</f>
        <v>Gilch, Stefan</v>
      </c>
      <c r="T133" s="178">
        <v>25895</v>
      </c>
      <c r="U133" s="186">
        <v>225</v>
      </c>
      <c r="V133" s="95">
        <f>IF(SUM(U133:U135)+U147=0,0,IF(ABS(SUM(U133:U135))=U147,0.5,IF(ABS(SUM(U133:U135))&gt;U147,1,0)))</f>
        <v>1</v>
      </c>
      <c r="W133" s="186">
        <v>182</v>
      </c>
      <c r="X133" s="95">
        <f>IF(SUM(W133:W135)+W147=0,0,IF(ABS(SUM(W133:W135))=W147,0.5,IF(ABS(SUM(W133:W135))&gt;W147,1,0)))</f>
        <v>1</v>
      </c>
      <c r="Y133" s="186">
        <v>182</v>
      </c>
      <c r="Z133" s="95">
        <f>IF(SUM(Y133:Y135)+Y147=0,0,IF(ABS(SUM(Y133:Y135))=Y147,0.5,IF(ABS(SUM(Y133:Y135))&gt;Y147,1,0)))</f>
        <v>1</v>
      </c>
      <c r="AA133" s="186">
        <v>178</v>
      </c>
      <c r="AB133" s="95">
        <f>IF(SUM(AA133:AA135)+AA147=0,0,IF(ABS(SUM(AA133:AA135))=AA147,0.5,IF(ABS(SUM(AA133:AA135))&gt;AA147,1,0)))</f>
        <v>1</v>
      </c>
      <c r="AC133" s="186">
        <v>173</v>
      </c>
      <c r="AD133" s="95">
        <f>IF(SUM(AC133:AC135)+AC147=0,0,IF(ABS(SUM(AC133:AC135))=AC147,0.5,IF(ABS(SUM(AC133:AC135))&gt;AC147,1,0)))</f>
        <v>0</v>
      </c>
      <c r="AE133" s="195">
        <f t="shared" si="109"/>
        <v>940</v>
      </c>
      <c r="AF133" s="180">
        <f>SUM(V133+X133+Z133+AB133+AD133)</f>
        <v>4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0"/>
        <v>25895</v>
      </c>
      <c r="BE133" s="213">
        <f t="shared" si="111"/>
        <v>940</v>
      </c>
      <c r="BF133" s="215">
        <f t="shared" si="112"/>
        <v>5</v>
      </c>
      <c r="BG133" s="215">
        <f t="shared" si="113"/>
        <v>5</v>
      </c>
      <c r="BH133" s="215">
        <f t="shared" si="114"/>
        <v>225</v>
      </c>
      <c r="BI133" s="215">
        <f t="shared" si="115"/>
        <v>182</v>
      </c>
      <c r="BJ133" s="215">
        <f t="shared" si="116"/>
        <v>182</v>
      </c>
      <c r="BK133" s="215">
        <f t="shared" si="117"/>
        <v>178</v>
      </c>
      <c r="BL133" s="215">
        <f t="shared" si="118"/>
        <v>173</v>
      </c>
      <c r="BM133" s="216"/>
      <c r="BN133" s="214"/>
      <c r="BO133" s="215">
        <f t="shared" si="119"/>
        <v>225</v>
      </c>
      <c r="BP133" s="215">
        <f t="shared" si="120"/>
        <v>0</v>
      </c>
      <c r="BQ133" s="215" t="str">
        <f t="shared" si="126"/>
        <v>Castra Regina Regensburg 2</v>
      </c>
      <c r="BR133" s="214">
        <f t="shared" si="121"/>
        <v>2</v>
      </c>
      <c r="BS133" s="215">
        <f t="shared" si="122"/>
        <v>940</v>
      </c>
      <c r="BT133" s="215">
        <f>IF(COUNTIF(BH133:BL133,"&gt;0")&lt;Spielorte!$A$23,0,BE133/Spielorte!$A$23)</f>
        <v>188</v>
      </c>
      <c r="BU133" s="215">
        <f t="shared" si="123"/>
        <v>0</v>
      </c>
      <c r="BV133" s="214">
        <f t="shared" si="124"/>
        <v>0</v>
      </c>
    </row>
    <row r="134" spans="1:74" ht="17.100000000000001" customHeight="1" x14ac:dyDescent="0.2">
      <c r="A134" s="374"/>
      <c r="B134" s="19" t="str">
        <f t="shared" si="125"/>
        <v/>
      </c>
      <c r="C134" s="20" t="str">
        <f t="shared" si="125"/>
        <v/>
      </c>
      <c r="D134" s="15" t="str">
        <f t="shared" si="125"/>
        <v/>
      </c>
      <c r="E134" s="353"/>
      <c r="F134" s="15" t="str">
        <f t="shared" si="104"/>
        <v/>
      </c>
      <c r="G134" s="353"/>
      <c r="H134" s="15" t="str">
        <f t="shared" si="105"/>
        <v/>
      </c>
      <c r="I134" s="353"/>
      <c r="J134" s="15" t="str">
        <f t="shared" si="106"/>
        <v/>
      </c>
      <c r="K134" s="353"/>
      <c r="L134" s="15" t="str">
        <f t="shared" si="107"/>
        <v/>
      </c>
      <c r="M134" s="353"/>
      <c r="N134" s="15" t="str">
        <f t="shared" si="108"/>
        <v/>
      </c>
      <c r="O134" s="353"/>
      <c r="R134" s="356"/>
      <c r="S134" s="68" t="str">
        <f>IF(T134=0,"",VLOOKUP(T134,Starter!$A$1:$D$196,2,FALSE))</f>
        <v/>
      </c>
      <c r="T134" s="176"/>
      <c r="U134" s="184"/>
      <c r="V134" s="96"/>
      <c r="W134" s="184"/>
      <c r="X134" s="96"/>
      <c r="Y134" s="184"/>
      <c r="Z134" s="96"/>
      <c r="AA134" s="184"/>
      <c r="AB134" s="96"/>
      <c r="AC134" s="184"/>
      <c r="AD134" s="96"/>
      <c r="AE134" s="196">
        <f t="shared" si="109"/>
        <v>0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0"/>
        <v>0</v>
      </c>
      <c r="BE134" s="213">
        <f t="shared" si="111"/>
        <v>0</v>
      </c>
      <c r="BF134" s="215">
        <f t="shared" si="112"/>
        <v>0</v>
      </c>
      <c r="BG134" s="215">
        <f t="shared" si="113"/>
        <v>0</v>
      </c>
      <c r="BH134" s="215" t="str">
        <f t="shared" si="114"/>
        <v/>
      </c>
      <c r="BI134" s="215" t="str">
        <f t="shared" si="115"/>
        <v/>
      </c>
      <c r="BJ134" s="215" t="str">
        <f t="shared" si="116"/>
        <v/>
      </c>
      <c r="BK134" s="215" t="str">
        <f t="shared" si="117"/>
        <v/>
      </c>
      <c r="BL134" s="215" t="str">
        <f t="shared" si="118"/>
        <v/>
      </c>
      <c r="BM134" s="216"/>
      <c r="BN134" s="214"/>
      <c r="BO134" s="215">
        <f t="shared" si="119"/>
        <v>0</v>
      </c>
      <c r="BP134" s="215">
        <f t="shared" si="120"/>
        <v>0</v>
      </c>
      <c r="BQ134" s="215" t="str">
        <f t="shared" si="126"/>
        <v>Castra Regina Regensburg 2</v>
      </c>
      <c r="BR134" s="214">
        <f t="shared" si="121"/>
        <v>2</v>
      </c>
      <c r="BS134" s="215">
        <f t="shared" si="122"/>
        <v>0</v>
      </c>
      <c r="BT134" s="215">
        <f>IF(COUNTIF(BH134:BL134,"&gt;0")&lt;Spielorte!$A$23,0,BE134/Spielorte!$A$23)</f>
        <v>0</v>
      </c>
      <c r="BU134" s="215">
        <f t="shared" si="123"/>
        <v>0</v>
      </c>
      <c r="BV134" s="214">
        <f t="shared" si="124"/>
        <v>0</v>
      </c>
    </row>
    <row r="135" spans="1:74" ht="17.100000000000001" customHeight="1" thickBot="1" x14ac:dyDescent="0.25">
      <c r="A135" s="375"/>
      <c r="B135" s="21" t="str">
        <f t="shared" si="125"/>
        <v/>
      </c>
      <c r="C135" s="22" t="str">
        <f t="shared" si="125"/>
        <v/>
      </c>
      <c r="D135" s="9" t="str">
        <f t="shared" si="125"/>
        <v/>
      </c>
      <c r="E135" s="354"/>
      <c r="F135" s="9" t="str">
        <f t="shared" si="104"/>
        <v/>
      </c>
      <c r="G135" s="354"/>
      <c r="H135" s="9" t="str">
        <f t="shared" si="105"/>
        <v/>
      </c>
      <c r="I135" s="354"/>
      <c r="J135" s="9" t="str">
        <f t="shared" si="106"/>
        <v/>
      </c>
      <c r="K135" s="354"/>
      <c r="L135" s="9" t="str">
        <f t="shared" si="107"/>
        <v/>
      </c>
      <c r="M135" s="354"/>
      <c r="N135" s="9" t="str">
        <f t="shared" si="108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09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0"/>
        <v>0</v>
      </c>
      <c r="BE135" s="213">
        <f t="shared" si="111"/>
        <v>0</v>
      </c>
      <c r="BF135" s="215">
        <f t="shared" si="112"/>
        <v>0</v>
      </c>
      <c r="BG135" s="215">
        <f t="shared" si="113"/>
        <v>0</v>
      </c>
      <c r="BH135" s="215" t="str">
        <f t="shared" si="114"/>
        <v/>
      </c>
      <c r="BI135" s="215" t="str">
        <f t="shared" si="115"/>
        <v/>
      </c>
      <c r="BJ135" s="215" t="str">
        <f t="shared" si="116"/>
        <v/>
      </c>
      <c r="BK135" s="215" t="str">
        <f t="shared" si="117"/>
        <v/>
      </c>
      <c r="BL135" s="215" t="str">
        <f t="shared" si="118"/>
        <v/>
      </c>
      <c r="BM135" s="216"/>
      <c r="BN135" s="214"/>
      <c r="BO135" s="215">
        <f t="shared" si="119"/>
        <v>0</v>
      </c>
      <c r="BP135" s="215">
        <f t="shared" si="120"/>
        <v>0</v>
      </c>
      <c r="BQ135" s="215" t="str">
        <f t="shared" si="126"/>
        <v>Castra Regina Regensburg 2</v>
      </c>
      <c r="BR135" s="214">
        <f t="shared" si="121"/>
        <v>2</v>
      </c>
      <c r="BS135" s="215">
        <f t="shared" si="122"/>
        <v>0</v>
      </c>
      <c r="BT135" s="215">
        <f>IF(COUNTIF(BH135:BL135,"&gt;0")&lt;Spielorte!$A$23,0,BE135/Spielorte!$A$23)</f>
        <v>0</v>
      </c>
      <c r="BU135" s="215">
        <f t="shared" si="123"/>
        <v>0</v>
      </c>
      <c r="BV135" s="214">
        <f t="shared" si="124"/>
        <v>0</v>
      </c>
    </row>
    <row r="136" spans="1:74" ht="17.100000000000001" customHeight="1" x14ac:dyDescent="0.2">
      <c r="A136" s="373" t="s">
        <v>11</v>
      </c>
      <c r="B136" s="17" t="str">
        <f>IF(S136=0,"",S136)</f>
        <v>Humbs, Martin</v>
      </c>
      <c r="C136" s="18">
        <f t="shared" si="125"/>
        <v>38046</v>
      </c>
      <c r="D136" s="14">
        <f t="shared" si="125"/>
        <v>192</v>
      </c>
      <c r="E136" s="352">
        <f>IF(V136="","",V136)</f>
        <v>0</v>
      </c>
      <c r="F136" s="14">
        <f t="shared" si="104"/>
        <v>199</v>
      </c>
      <c r="G136" s="352">
        <f>IF(X136="","",X136)</f>
        <v>1</v>
      </c>
      <c r="H136" s="14">
        <f t="shared" si="105"/>
        <v>192</v>
      </c>
      <c r="I136" s="352">
        <f>IF(Z136="","",Z136)</f>
        <v>0</v>
      </c>
      <c r="J136" s="14">
        <f t="shared" si="106"/>
        <v>189</v>
      </c>
      <c r="K136" s="352">
        <f>IF(AB136="","",AB136)</f>
        <v>0</v>
      </c>
      <c r="L136" s="14">
        <f t="shared" si="107"/>
        <v>192</v>
      </c>
      <c r="M136" s="352">
        <f>IF(AD136="","",AD136)</f>
        <v>1</v>
      </c>
      <c r="N136" s="14">
        <f t="shared" si="108"/>
        <v>964</v>
      </c>
      <c r="O136" s="352">
        <f>IF(AF136="","",AF136)</f>
        <v>2</v>
      </c>
      <c r="R136" s="355" t="s">
        <v>11</v>
      </c>
      <c r="S136" s="68" t="str">
        <f>IF(T136=0,"",VLOOKUP(T136,Starter!$A$1:$D$196,2,FALSE))</f>
        <v>Humbs, Martin</v>
      </c>
      <c r="T136" s="178">
        <v>38046</v>
      </c>
      <c r="U136" s="186">
        <v>192</v>
      </c>
      <c r="V136" s="95">
        <f>IF(SUM(U136:U138)+U148=0,0,IF(ABS(SUM(U136:U138))=U148,0.5,IF(ABS(SUM(U136:U138))&gt;U148,1,0)))</f>
        <v>0</v>
      </c>
      <c r="W136" s="186">
        <v>199</v>
      </c>
      <c r="X136" s="95">
        <f>IF(SUM(W136:W138)+W148=0,0,IF(ABS(SUM(W136:W138))=W148,0.5,IF(ABS(SUM(W136:W138))&gt;W148,1,0)))</f>
        <v>1</v>
      </c>
      <c r="Y136" s="186">
        <v>192</v>
      </c>
      <c r="Z136" s="95">
        <f>IF(SUM(Y136:Y138)+Y148=0,0,IF(ABS(SUM(Y136:Y138))=Y148,0.5,IF(ABS(SUM(Y136:Y138))&gt;Y148,1,0)))</f>
        <v>0</v>
      </c>
      <c r="AA136" s="186">
        <v>189</v>
      </c>
      <c r="AB136" s="95">
        <f>IF(SUM(AA136:AA138)+AA148=0,0,IF(ABS(SUM(AA136:AA138))=AA148,0.5,IF(ABS(SUM(AA136:AA138))&gt;AA148,1,0)))</f>
        <v>0</v>
      </c>
      <c r="AC136" s="186">
        <v>192</v>
      </c>
      <c r="AD136" s="95">
        <f>IF(SUM(AC136:AC138)+AC148=0,0,IF(ABS(SUM(AC136:AC138))=AC148,0.5,IF(ABS(SUM(AC136:AC138))&gt;AC148,1,0)))</f>
        <v>1</v>
      </c>
      <c r="AE136" s="195">
        <f t="shared" si="109"/>
        <v>964</v>
      </c>
      <c r="AF136" s="180">
        <f>SUM(V136+X136+Z136+AB136+AD136)</f>
        <v>2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0"/>
        <v>38046</v>
      </c>
      <c r="BE136" s="213">
        <f t="shared" si="111"/>
        <v>964</v>
      </c>
      <c r="BF136" s="215">
        <f t="shared" si="112"/>
        <v>5</v>
      </c>
      <c r="BG136" s="215">
        <f t="shared" si="113"/>
        <v>5</v>
      </c>
      <c r="BH136" s="215">
        <f t="shared" si="114"/>
        <v>192</v>
      </c>
      <c r="BI136" s="215">
        <f t="shared" si="115"/>
        <v>199</v>
      </c>
      <c r="BJ136" s="215">
        <f t="shared" si="116"/>
        <v>192</v>
      </c>
      <c r="BK136" s="215">
        <f t="shared" si="117"/>
        <v>189</v>
      </c>
      <c r="BL136" s="215">
        <f t="shared" si="118"/>
        <v>192</v>
      </c>
      <c r="BM136" s="216"/>
      <c r="BN136" s="214"/>
      <c r="BO136" s="215">
        <f t="shared" si="119"/>
        <v>199</v>
      </c>
      <c r="BP136" s="215">
        <f t="shared" si="120"/>
        <v>0</v>
      </c>
      <c r="BQ136" s="215" t="str">
        <f t="shared" si="126"/>
        <v>Castra Regina Regensburg 2</v>
      </c>
      <c r="BR136" s="214">
        <f t="shared" si="121"/>
        <v>2</v>
      </c>
      <c r="BS136" s="215">
        <f t="shared" si="122"/>
        <v>964</v>
      </c>
      <c r="BT136" s="215">
        <f>IF(COUNTIF(BH136:BL136,"&gt;0")&lt;Spielorte!$A$23,0,BE136/Spielorte!$A$23)</f>
        <v>192.8</v>
      </c>
      <c r="BU136" s="215">
        <f t="shared" si="123"/>
        <v>0</v>
      </c>
      <c r="BV136" s="214">
        <f t="shared" si="124"/>
        <v>0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25"/>
        <v/>
      </c>
      <c r="D137" s="15" t="str">
        <f t="shared" si="125"/>
        <v/>
      </c>
      <c r="E137" s="353"/>
      <c r="F137" s="15" t="str">
        <f t="shared" si="104"/>
        <v/>
      </c>
      <c r="G137" s="353"/>
      <c r="H137" s="15" t="str">
        <f t="shared" si="105"/>
        <v/>
      </c>
      <c r="I137" s="353"/>
      <c r="J137" s="15" t="str">
        <f t="shared" si="106"/>
        <v/>
      </c>
      <c r="K137" s="353"/>
      <c r="L137" s="15" t="str">
        <f t="shared" si="107"/>
        <v/>
      </c>
      <c r="M137" s="353"/>
      <c r="N137" s="15" t="str">
        <f t="shared" si="108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09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0"/>
        <v>0</v>
      </c>
      <c r="BE137" s="213">
        <f t="shared" si="111"/>
        <v>0</v>
      </c>
      <c r="BF137" s="215">
        <f t="shared" si="112"/>
        <v>0</v>
      </c>
      <c r="BG137" s="215">
        <f t="shared" si="113"/>
        <v>0</v>
      </c>
      <c r="BH137" s="215" t="str">
        <f t="shared" si="114"/>
        <v/>
      </c>
      <c r="BI137" s="215" t="str">
        <f t="shared" si="115"/>
        <v/>
      </c>
      <c r="BJ137" s="215" t="str">
        <f t="shared" si="116"/>
        <v/>
      </c>
      <c r="BK137" s="215" t="str">
        <f t="shared" si="117"/>
        <v/>
      </c>
      <c r="BL137" s="215" t="str">
        <f t="shared" si="118"/>
        <v/>
      </c>
      <c r="BM137" s="216"/>
      <c r="BN137" s="214"/>
      <c r="BO137" s="215">
        <f t="shared" si="119"/>
        <v>0</v>
      </c>
      <c r="BP137" s="215">
        <f t="shared" si="120"/>
        <v>0</v>
      </c>
      <c r="BQ137" s="215" t="str">
        <f t="shared" si="126"/>
        <v>Castra Regina Regensburg 2</v>
      </c>
      <c r="BR137" s="214">
        <f t="shared" si="121"/>
        <v>2</v>
      </c>
      <c r="BS137" s="215">
        <f t="shared" si="122"/>
        <v>0</v>
      </c>
      <c r="BT137" s="215">
        <f>IF(COUNTIF(BH137:BL137,"&gt;0")&lt;Spielorte!$A$23,0,BE137/Spielorte!$A$23)</f>
        <v>0</v>
      </c>
      <c r="BU137" s="215">
        <f t="shared" si="123"/>
        <v>0</v>
      </c>
      <c r="BV137" s="214">
        <f t="shared" si="124"/>
        <v>0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25"/>
        <v/>
      </c>
      <c r="D138" s="9" t="str">
        <f t="shared" si="125"/>
        <v/>
      </c>
      <c r="E138" s="354"/>
      <c r="F138" s="9" t="str">
        <f t="shared" si="104"/>
        <v/>
      </c>
      <c r="G138" s="354"/>
      <c r="H138" s="9" t="str">
        <f t="shared" si="105"/>
        <v/>
      </c>
      <c r="I138" s="354"/>
      <c r="J138" s="9" t="str">
        <f t="shared" si="106"/>
        <v/>
      </c>
      <c r="K138" s="354"/>
      <c r="L138" s="9" t="str">
        <f t="shared" si="107"/>
        <v/>
      </c>
      <c r="M138" s="354"/>
      <c r="N138" s="9" t="str">
        <f t="shared" si="108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09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0"/>
        <v>0</v>
      </c>
      <c r="BE138" s="213">
        <f t="shared" si="111"/>
        <v>0</v>
      </c>
      <c r="BF138" s="215">
        <f t="shared" si="112"/>
        <v>0</v>
      </c>
      <c r="BG138" s="215">
        <f t="shared" si="113"/>
        <v>0</v>
      </c>
      <c r="BH138" s="215" t="str">
        <f t="shared" si="114"/>
        <v/>
      </c>
      <c r="BI138" s="215" t="str">
        <f t="shared" si="115"/>
        <v/>
      </c>
      <c r="BJ138" s="215" t="str">
        <f t="shared" si="116"/>
        <v/>
      </c>
      <c r="BK138" s="215" t="str">
        <f t="shared" si="117"/>
        <v/>
      </c>
      <c r="BL138" s="215" t="str">
        <f t="shared" si="118"/>
        <v/>
      </c>
      <c r="BM138" s="216"/>
      <c r="BN138" s="214"/>
      <c r="BO138" s="215">
        <f t="shared" si="119"/>
        <v>0</v>
      </c>
      <c r="BP138" s="215">
        <f t="shared" si="120"/>
        <v>0</v>
      </c>
      <c r="BQ138" s="215" t="str">
        <f t="shared" si="126"/>
        <v>Castra Regina Regensburg 2</v>
      </c>
      <c r="BR138" s="214">
        <f t="shared" si="121"/>
        <v>2</v>
      </c>
      <c r="BS138" s="215">
        <f t="shared" si="122"/>
        <v>0</v>
      </c>
      <c r="BT138" s="215">
        <f>IF(COUNTIF(BH138:BL138,"&gt;0")&lt;Spielorte!$A$23,0,BE138/Spielorte!$A$23)</f>
        <v>0</v>
      </c>
      <c r="BU138" s="215">
        <f t="shared" si="123"/>
        <v>0</v>
      </c>
      <c r="BV138" s="214">
        <f t="shared" si="124"/>
        <v>0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25"/>
        <v/>
      </c>
      <c r="D139" s="16">
        <f t="shared" si="125"/>
        <v>799</v>
      </c>
      <c r="E139" s="12">
        <f>IF(V139="","",V139)</f>
        <v>2</v>
      </c>
      <c r="F139" s="16">
        <f t="shared" si="104"/>
        <v>744</v>
      </c>
      <c r="G139" s="12">
        <f>IF(X139="","",X139)</f>
        <v>2</v>
      </c>
      <c r="H139" s="16">
        <f t="shared" si="105"/>
        <v>778</v>
      </c>
      <c r="I139" s="12">
        <f>IF(Z139="","",Z139)</f>
        <v>2</v>
      </c>
      <c r="J139" s="16">
        <f t="shared" si="106"/>
        <v>713</v>
      </c>
      <c r="K139" s="12">
        <f>IF(AB139="","",AB139)</f>
        <v>2</v>
      </c>
      <c r="L139" s="16">
        <f t="shared" si="107"/>
        <v>727</v>
      </c>
      <c r="M139" s="12">
        <f>IF(AD139="","",AD139)</f>
        <v>2</v>
      </c>
      <c r="N139" s="16">
        <f t="shared" si="108"/>
        <v>3761</v>
      </c>
      <c r="O139" s="12">
        <f>IF(AF139="","",AF139)</f>
        <v>10</v>
      </c>
      <c r="S139" s="11" t="s">
        <v>1791</v>
      </c>
      <c r="T139" s="71"/>
      <c r="U139" s="188">
        <f>ABS(SUM(U127:U129))+ABS(SUM(U130:U132))+ABS(SUM(U133:U135))+ABS(SUM(U136:U138))</f>
        <v>799</v>
      </c>
      <c r="V139" s="98">
        <f>IF(U139+U149=0,0,IF(U139=U149,1,IF(U139&gt;U149,2,0)))</f>
        <v>2</v>
      </c>
      <c r="W139" s="188">
        <f>ABS(SUM(W127:W129))+ABS(SUM(W130:W132))+ABS(SUM(W133:W135))+ABS(SUM(W136:W138))</f>
        <v>744</v>
      </c>
      <c r="X139" s="98">
        <f>IF(W139+W149=0,0,IF(W139=W149,1,IF(W139&gt;W149,2,0)))</f>
        <v>2</v>
      </c>
      <c r="Y139" s="188">
        <f>ABS(SUM(Y127:Y129))+ABS(SUM(Y130:Y132))+ABS(SUM(Y133:Y135))+ABS(SUM(Y136:Y138))</f>
        <v>778</v>
      </c>
      <c r="Z139" s="98">
        <f>IF(Y139+Y149=0,0,IF(Y139=Y149,1,IF(Y139&gt;Y149,2,0)))</f>
        <v>2</v>
      </c>
      <c r="AA139" s="188">
        <f>ABS(SUM(AA127:AA129))+ABS(SUM(AA130:AA132))+ABS(SUM(AA133:AA135))+ABS(SUM(AA136:AA138))</f>
        <v>713</v>
      </c>
      <c r="AB139" s="98">
        <f>IF(AA139+AA149=0,0,IF(AA139=AA149,1,IF(AA139&gt;AA149,2,0)))</f>
        <v>2</v>
      </c>
      <c r="AC139" s="188">
        <f>ABS(SUM(AC127:AC129))+ABS(SUM(AC130:AC132))+ABS(SUM(AC133:AC135))+ABS(SUM(AC136:AC138))</f>
        <v>727</v>
      </c>
      <c r="AD139" s="98">
        <f>IF(AC139+AC149=0,0,IF(AC139=AC149,1,IF(AC139&gt;AC149,2,0)))</f>
        <v>2</v>
      </c>
      <c r="AE139" s="198">
        <f>SUM(U139+W139+Y139+AA139+AC139)</f>
        <v>3761</v>
      </c>
      <c r="AF139" s="12">
        <f>SUM(V139+X139+Z139+AB139+AD139)</f>
        <v>10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25"/>
        <v/>
      </c>
      <c r="D140" s="1" t="str">
        <f t="shared" si="125"/>
        <v/>
      </c>
      <c r="E140" s="23">
        <f>IF(V140="","",V140)</f>
        <v>5</v>
      </c>
      <c r="F140" s="1" t="str">
        <f t="shared" si="104"/>
        <v/>
      </c>
      <c r="G140" s="23">
        <f>IF(X140="","",X140)</f>
        <v>5.5</v>
      </c>
      <c r="H140" s="1" t="str">
        <f t="shared" si="105"/>
        <v/>
      </c>
      <c r="I140" s="23">
        <f>IF(Z140="","",Z140)</f>
        <v>5</v>
      </c>
      <c r="J140" s="1" t="str">
        <f t="shared" si="106"/>
        <v/>
      </c>
      <c r="K140" s="23">
        <f>IF(AB140="","",AB140)</f>
        <v>5</v>
      </c>
      <c r="L140" s="1" t="str">
        <f t="shared" si="107"/>
        <v/>
      </c>
      <c r="M140" s="23">
        <f>IF(AD140="","",AD140)</f>
        <v>4</v>
      </c>
      <c r="N140" s="1" t="str">
        <f t="shared" si="108"/>
        <v/>
      </c>
      <c r="O140" s="23">
        <f>IF(AF140="","",AF140)</f>
        <v>24.5</v>
      </c>
      <c r="S140" s="8" t="s">
        <v>1802</v>
      </c>
      <c r="T140" s="1"/>
      <c r="U140" s="1"/>
      <c r="V140" s="72">
        <f>SUM(V127:V139)</f>
        <v>5</v>
      </c>
      <c r="W140" s="1"/>
      <c r="X140" s="72">
        <f>SUM(X127:X139)</f>
        <v>5.5</v>
      </c>
      <c r="Y140" s="1"/>
      <c r="Z140" s="72">
        <f>SUM(Z127:Z139)</f>
        <v>5</v>
      </c>
      <c r="AA140" s="1"/>
      <c r="AB140" s="72">
        <f>SUM(AB127:AB139)</f>
        <v>5</v>
      </c>
      <c r="AC140" s="1"/>
      <c r="AD140" s="72">
        <f>SUM(AD127:AD139)</f>
        <v>4</v>
      </c>
      <c r="AE140" s="1"/>
      <c r="AF140" s="72">
        <f>SUM(AF127:AF139)</f>
        <v>24.5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24.5</v>
      </c>
      <c r="BB140" s="213">
        <f>AE139</f>
        <v>3761</v>
      </c>
      <c r="BC140" s="214">
        <f>+S122</f>
        <v>5</v>
      </c>
      <c r="BF140" s="215">
        <f>SUM(BF121:BF139)</f>
        <v>20</v>
      </c>
      <c r="BM140" s="212">
        <f>+BB140/1000000+BA140</f>
        <v>24.503761000000001</v>
      </c>
      <c r="BN140" s="214">
        <f>RANK(BM140,BM:BM)</f>
        <v>1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M142" si="127">IF(S142=0,"",S142)</f>
        <v>Gegner-Nr.:</v>
      </c>
      <c r="C142" s="5" t="str">
        <f t="shared" si="127"/>
        <v>&gt;&gt;&gt;&gt;</v>
      </c>
      <c r="D142" s="350">
        <f t="shared" si="127"/>
        <v>1</v>
      </c>
      <c r="E142" s="350" t="str">
        <f t="shared" si="127"/>
        <v/>
      </c>
      <c r="F142" s="350">
        <f t="shared" si="127"/>
        <v>3</v>
      </c>
      <c r="G142" s="350" t="str">
        <f t="shared" si="127"/>
        <v/>
      </c>
      <c r="H142" s="350">
        <f t="shared" si="127"/>
        <v>2</v>
      </c>
      <c r="I142" s="350" t="str">
        <f t="shared" si="127"/>
        <v/>
      </c>
      <c r="J142" s="350">
        <f t="shared" si="127"/>
        <v>4</v>
      </c>
      <c r="K142" s="350" t="str">
        <f t="shared" si="127"/>
        <v/>
      </c>
      <c r="L142" s="350">
        <f t="shared" si="127"/>
        <v>6</v>
      </c>
      <c r="M142" s="350" t="str">
        <f t="shared" si="127"/>
        <v/>
      </c>
      <c r="N142" s="351"/>
      <c r="O142" s="351"/>
      <c r="S142" s="13" t="s">
        <v>1789</v>
      </c>
      <c r="T142" s="5" t="s">
        <v>1790</v>
      </c>
      <c r="U142" s="369">
        <f>VLOOKUP($S122,Schlüssel!$A$5:$DG$10,83)</f>
        <v>1</v>
      </c>
      <c r="V142" s="370"/>
      <c r="W142" s="369">
        <f>VLOOKUP($S122,Schlüssel!$A$5:$EK$10,84)</f>
        <v>3</v>
      </c>
      <c r="X142" s="370"/>
      <c r="Y142" s="369">
        <f>VLOOKUP($S122,Schlüssel!$A$5:$EK$10,85)</f>
        <v>2</v>
      </c>
      <c r="Z142" s="370"/>
      <c r="AA142" s="369">
        <f>VLOOKUP($S122,Schlüssel!$A$5:$EK$10,86)</f>
        <v>4</v>
      </c>
      <c r="AB142" s="370"/>
      <c r="AC142" s="369">
        <f>VLOOKUP($S122,Schlüssel!$A$5:$EK$10,87)</f>
        <v>6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ref="B143:K144" si="128">IF(S143=0,"",S143)</f>
        <v/>
      </c>
      <c r="C143" s="1" t="str">
        <f t="shared" si="128"/>
        <v/>
      </c>
      <c r="D143" s="347" t="str">
        <f t="shared" si="128"/>
        <v>Castra Regina Regensburg 3</v>
      </c>
      <c r="E143" s="348" t="str">
        <f t="shared" si="128"/>
        <v/>
      </c>
      <c r="F143" s="347" t="str">
        <f t="shared" si="128"/>
        <v>Kings Club Bayreuth Land 2</v>
      </c>
      <c r="G143" s="348" t="str">
        <f t="shared" si="128"/>
        <v/>
      </c>
      <c r="H143" s="347" t="str">
        <f t="shared" si="128"/>
        <v>Herzogenaurach 1</v>
      </c>
      <c r="I143" s="348" t="str">
        <f t="shared" si="128"/>
        <v/>
      </c>
      <c r="J143" s="347" t="str">
        <f t="shared" si="128"/>
        <v>Kings Club Bayreuth Land 3</v>
      </c>
      <c r="K143" s="348" t="str">
        <f t="shared" si="128"/>
        <v/>
      </c>
      <c r="L143" s="347" t="str">
        <f>IF(AC143=0,"",AC143)</f>
        <v>Adler Nürnberg 1</v>
      </c>
      <c r="M143" s="348" t="str">
        <f>IF(AD143=0,"",AD143)</f>
        <v/>
      </c>
      <c r="N143" s="349"/>
      <c r="O143" s="349"/>
      <c r="S143" s="4"/>
      <c r="T143" s="1"/>
      <c r="U143" s="347" t="str">
        <f>VLOOKUP(U142,Schlüssel!$A$5:$K$10,2)</f>
        <v>Castra Regina Regensburg 3</v>
      </c>
      <c r="V143" s="348"/>
      <c r="W143" s="347" t="str">
        <f>VLOOKUP(W142,Schlüssel!$A$5:$K$10,2)</f>
        <v>Kings Club Bayreuth Land 2</v>
      </c>
      <c r="X143" s="348"/>
      <c r="Y143" s="347" t="str">
        <f>VLOOKUP(Y142,Schlüssel!$A$5:$K$10,2)</f>
        <v>Herzogenaurach 1</v>
      </c>
      <c r="Z143" s="348"/>
      <c r="AA143" s="347" t="str">
        <f>VLOOKUP(AA142,Schlüssel!$A$5:$K$10,2)</f>
        <v>Kings Club Bayreuth Land 3</v>
      </c>
      <c r="AB143" s="348"/>
      <c r="AC143" s="347" t="str">
        <f>VLOOKUP(AC142,Schlüssel!$A$5:$K$10,2)</f>
        <v>Adler Nürnberg 1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28"/>
        <v/>
      </c>
      <c r="C144" s="1" t="str">
        <f t="shared" si="128"/>
        <v/>
      </c>
      <c r="D144" s="346" t="str">
        <f t="shared" si="128"/>
        <v/>
      </c>
      <c r="E144" s="346" t="str">
        <f t="shared" si="128"/>
        <v/>
      </c>
      <c r="F144" s="346" t="str">
        <f t="shared" si="128"/>
        <v/>
      </c>
      <c r="G144" s="346" t="str">
        <f t="shared" si="128"/>
        <v/>
      </c>
      <c r="H144" s="346" t="str">
        <f t="shared" si="128"/>
        <v/>
      </c>
      <c r="I144" s="346" t="str">
        <f t="shared" si="128"/>
        <v/>
      </c>
      <c r="J144" s="346" t="str">
        <f t="shared" si="128"/>
        <v/>
      </c>
      <c r="K144" s="346" t="str">
        <f t="shared" si="128"/>
        <v/>
      </c>
      <c r="L144" s="346" t="str">
        <f>IF(AC144=0,"",AC144)</f>
        <v/>
      </c>
      <c r="M144" s="346" t="str">
        <f>IF(AD144=0,"",AD144)</f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ref="B145:C149" si="129">IF(S145=0,"",S145)</f>
        <v>Spieler 1</v>
      </c>
      <c r="C145" s="372" t="str">
        <f t="shared" si="129"/>
        <v/>
      </c>
      <c r="D145" s="344">
        <f>IF(U145=301,"",U145)</f>
        <v>164</v>
      </c>
      <c r="E145" s="344" t="str">
        <f>IF(V145=0,"",V145)</f>
        <v/>
      </c>
      <c r="F145" s="344">
        <f>IF(W145=301,"",W145)</f>
        <v>161</v>
      </c>
      <c r="G145" s="344" t="str">
        <f>IF(X145=0,"",X145)</f>
        <v/>
      </c>
      <c r="H145" s="344">
        <f>IF(Y145=301,"",Y145)</f>
        <v>171</v>
      </c>
      <c r="I145" s="344" t="str">
        <f>IF(Z145=0,"",Z145)</f>
        <v/>
      </c>
      <c r="J145" s="344">
        <f>IF(AA145=301,"",AA145)</f>
        <v>159</v>
      </c>
      <c r="K145" s="344" t="str">
        <f>IF(AB145=0,"",AB145)</f>
        <v/>
      </c>
      <c r="L145" s="344">
        <f>IF(AC145=301,"",AC145)</f>
        <v>178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164</v>
      </c>
      <c r="V145" s="368"/>
      <c r="W145" s="367">
        <f>ABS(INDEX(W:W,MATCH(W142,$S:$S,0)+5)+INDEX(W:W,MATCH(W142,$S:$S,0)+6)+INDEX(W:W,MATCH(W142,$S:$S,0)+7))</f>
        <v>161</v>
      </c>
      <c r="X145" s="368"/>
      <c r="Y145" s="367">
        <f>ABS(INDEX(Y:Y,MATCH(Y142,$S:$S,0)+5)+INDEX(Y:Y,MATCH(Y142,$S:$S,0)+6)+INDEX(Y:Y,MATCH(Y142,$S:$S,0)+7))</f>
        <v>171</v>
      </c>
      <c r="Z145" s="368"/>
      <c r="AA145" s="367">
        <f>ABS(INDEX(AA:AA,MATCH(AA142,$S:$S,0)+5)+INDEX(AA:AA,MATCH(AA142,$S:$S,0)+6)+INDEX(AA:AA,MATCH(AA142,$S:$S,0)+7))</f>
        <v>159</v>
      </c>
      <c r="AB145" s="368"/>
      <c r="AC145" s="367">
        <f>ABS(INDEX(AC:AC,MATCH(AC142,$S:$S,0)+5)+INDEX(AC:AC,MATCH(AC142,$S:$S,0)+6)+INDEX(AC:AC,MATCH(AC142,$S:$S,0)+7))</f>
        <v>178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29"/>
        <v>Spieler 2</v>
      </c>
      <c r="C146" s="372" t="str">
        <f t="shared" si="129"/>
        <v/>
      </c>
      <c r="D146" s="344">
        <f>IF(U146=301,"",U146)</f>
        <v>161</v>
      </c>
      <c r="E146" s="344" t="str">
        <f>IF(V146=0,"",V146)</f>
        <v/>
      </c>
      <c r="F146" s="344">
        <f>IF(W146=301,"",W146)</f>
        <v>154</v>
      </c>
      <c r="G146" s="344" t="str">
        <f>IF(X146=0,"",X146)</f>
        <v/>
      </c>
      <c r="H146" s="344">
        <f>IF(Y146=301,"",Y146)</f>
        <v>178</v>
      </c>
      <c r="I146" s="344" t="str">
        <f>IF(Z146=0,"",Z146)</f>
        <v/>
      </c>
      <c r="J146" s="344">
        <f>IF(AA146=301,"",AA146)</f>
        <v>172</v>
      </c>
      <c r="K146" s="344" t="str">
        <f>IF(AB146=0,"",AB146)</f>
        <v/>
      </c>
      <c r="L146" s="344">
        <f>IF(AC146=301,"",AC146)</f>
        <v>170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161</v>
      </c>
      <c r="V146" s="366"/>
      <c r="W146" s="365">
        <f>ABS(INDEX(W:W,MATCH(W142,$S:$S,0)+8)+INDEX(W:W,MATCH(W142,$S:$S,0)+9)+INDEX(W:W,MATCH(W142,$S:$S,0)+10))</f>
        <v>154</v>
      </c>
      <c r="X146" s="366"/>
      <c r="Y146" s="365">
        <f>ABS(INDEX(Y:Y,MATCH(Y142,$S:$S,0)+8)+INDEX(Y:Y,MATCH(Y142,$S:$S,0)+9)+INDEX(Y:Y,MATCH(Y142,$S:$S,0)+10))</f>
        <v>178</v>
      </c>
      <c r="Z146" s="366"/>
      <c r="AA146" s="365">
        <f>ABS(INDEX(AA:AA,MATCH(AA142,$S:$S,0)+8)+INDEX(AA:AA,MATCH(AA142,$S:$S,0)+9)+INDEX(AA:AA,MATCH(AA142,$S:$S,0)+10))</f>
        <v>172</v>
      </c>
      <c r="AB146" s="366"/>
      <c r="AC146" s="365">
        <f>ABS(INDEX(AC:AC,MATCH(AC142,$S:$S,0)+8)+INDEX(AC:AC,MATCH(AC142,$S:$S,0)+9)+INDEX(AC:AC,MATCH(AC142,$S:$S,0)+10))</f>
        <v>170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29"/>
        <v>Spieler 3</v>
      </c>
      <c r="C147" s="372" t="str">
        <f t="shared" si="129"/>
        <v/>
      </c>
      <c r="D147" s="344">
        <f>IF(U147=301,"",U147)</f>
        <v>168</v>
      </c>
      <c r="E147" s="344" t="str">
        <f>IF(V147=0,"",V147)</f>
        <v/>
      </c>
      <c r="F147" s="344">
        <f>IF(W147=301,"",W147)</f>
        <v>146</v>
      </c>
      <c r="G147" s="344" t="str">
        <f>IF(X147=0,"",X147)</f>
        <v/>
      </c>
      <c r="H147" s="344">
        <f>IF(Y147=301,"",Y147)</f>
        <v>172</v>
      </c>
      <c r="I147" s="344" t="str">
        <f>IF(Z147=0,"",Z147)</f>
        <v/>
      </c>
      <c r="J147" s="344">
        <f>IF(AA147=301,"",AA147)</f>
        <v>157</v>
      </c>
      <c r="K147" s="344" t="str">
        <f>IF(AB147=0,"",AB147)</f>
        <v/>
      </c>
      <c r="L147" s="344">
        <f>IF(AC147=301,"",AC147)</f>
        <v>181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168</v>
      </c>
      <c r="V147" s="366"/>
      <c r="W147" s="365">
        <f>ABS(INDEX(W:W,MATCH(W142,$S:$S,0)+11)+INDEX(W:W,MATCH(W142,$S:$S,0)+12)+INDEX(W:W,MATCH(W142,$S:$S,0)+13))</f>
        <v>146</v>
      </c>
      <c r="X147" s="366"/>
      <c r="Y147" s="365">
        <f>ABS(INDEX(Y:Y,MATCH(Y142,$S:$S,0)+11)+INDEX(Y:Y,MATCH(Y142,$S:$S,0)+12)+INDEX(Y:Y,MATCH(Y142,$S:$S,0)+13))</f>
        <v>172</v>
      </c>
      <c r="Z147" s="366"/>
      <c r="AA147" s="365">
        <f>ABS(INDEX(AA:AA,MATCH(AA142,$S:$S,0)+11)+INDEX(AA:AA,MATCH(AA142,$S:$S,0)+12)+INDEX(AA:AA,MATCH(AA142,$S:$S,0)+13))</f>
        <v>157</v>
      </c>
      <c r="AB147" s="366"/>
      <c r="AC147" s="365">
        <f>ABS(INDEX(AC:AC,MATCH(AC142,$S:$S,0)+11)+INDEX(AC:AC,MATCH(AC142,$S:$S,0)+12)+INDEX(AC:AC,MATCH(AC142,$S:$S,0)+13))</f>
        <v>181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29"/>
        <v>Spieler 4</v>
      </c>
      <c r="C148" s="372" t="str">
        <f t="shared" si="129"/>
        <v/>
      </c>
      <c r="D148" s="344">
        <f>IF(U148=301,"",U148)</f>
        <v>223</v>
      </c>
      <c r="E148" s="344" t="str">
        <f>IF(V148=0,"",V148)</f>
        <v/>
      </c>
      <c r="F148" s="344">
        <f>IF(W148=301,"",W148)</f>
        <v>198</v>
      </c>
      <c r="G148" s="344" t="str">
        <f>IF(X148=0,"",X148)</f>
        <v/>
      </c>
      <c r="H148" s="344">
        <f>IF(Y148=301,"",Y148)</f>
        <v>235</v>
      </c>
      <c r="I148" s="344" t="str">
        <f>IF(Z148=0,"",Z148)</f>
        <v/>
      </c>
      <c r="J148" s="344">
        <f>IF(AA148=301,"",AA148)</f>
        <v>199</v>
      </c>
      <c r="K148" s="344" t="str">
        <f>IF(AB148=0,"",AB148)</f>
        <v/>
      </c>
      <c r="L148" s="344">
        <f>IF(AC148=301,"",AC148)</f>
        <v>147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223</v>
      </c>
      <c r="V148" s="366"/>
      <c r="W148" s="365">
        <f>ABS(INDEX(W:W,MATCH(W142,$S:$S,0)+14)+INDEX(W:W,MATCH(W142,$S:$S,0)+15)+INDEX(W:W,MATCH(W142,$S:$S,0)+16))</f>
        <v>198</v>
      </c>
      <c r="X148" s="366"/>
      <c r="Y148" s="365">
        <f>ABS(INDEX(Y:Y,MATCH(Y142,$S:$S,0)+14)+INDEX(Y:Y,MATCH(Y142,$S:$S,0)+15)+INDEX(Y:Y,MATCH(Y142,$S:$S,0)+16))</f>
        <v>235</v>
      </c>
      <c r="Z148" s="366"/>
      <c r="AA148" s="365">
        <f>ABS(INDEX(AA:AA,MATCH(AA142,$S:$S,0)+14)+INDEX(AA:AA,MATCH(AA142,$S:$S,0)+15)+INDEX(AA:AA,MATCH(AA142,$S:$S,0)+16))</f>
        <v>199</v>
      </c>
      <c r="AB148" s="366"/>
      <c r="AC148" s="365">
        <f>ABS(INDEX(AC:AC,MATCH(AC142,$S:$S,0)+14)+INDEX(AC:AC,MATCH(AC142,$S:$S,0)+15)+INDEX(AC:AC,MATCH(AC142,$S:$S,0)+16))</f>
        <v>147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29"/>
        <v>Gesamt</v>
      </c>
      <c r="C149" s="360" t="str">
        <f t="shared" si="129"/>
        <v/>
      </c>
      <c r="D149" s="343">
        <f>IF(U149=1505,"",U149)</f>
        <v>716</v>
      </c>
      <c r="E149" s="343" t="str">
        <f>IF(V149=0,"",V149)</f>
        <v/>
      </c>
      <c r="F149" s="343">
        <f>IF(W149=1505,"",W149)</f>
        <v>659</v>
      </c>
      <c r="G149" s="343" t="str">
        <f>IF(X149=0,"",X149)</f>
        <v/>
      </c>
      <c r="H149" s="343">
        <f>IF(Y149=1505,"",Y149)</f>
        <v>756</v>
      </c>
      <c r="I149" s="343" t="str">
        <f>IF(Z149=0,"",Z149)</f>
        <v/>
      </c>
      <c r="J149" s="343">
        <f>IF(AA149=1505,"",AA149)</f>
        <v>687</v>
      </c>
      <c r="K149" s="343" t="str">
        <f>IF(AB149=0,"",AB149)</f>
        <v/>
      </c>
      <c r="L149" s="343">
        <f>IF(AC149=1505,"",AC149)</f>
        <v>676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716</v>
      </c>
      <c r="V149" s="360"/>
      <c r="W149" s="359">
        <f>SUM(W145:W148)</f>
        <v>659</v>
      </c>
      <c r="X149" s="360"/>
      <c r="Y149" s="359">
        <f>SUM(Y145:Y148)</f>
        <v>756</v>
      </c>
      <c r="Z149" s="360"/>
      <c r="AA149" s="359">
        <f>SUM(AA145:AA148)</f>
        <v>687</v>
      </c>
      <c r="AB149" s="360"/>
      <c r="AC149" s="359">
        <f>SUM(AC145:AC148)</f>
        <v>676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/>
      <c r="N151" s="376" t="str">
        <f>AD151</f>
        <v>13.04.</v>
      </c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Schlüssel!$CO$1</f>
        <v>13.04.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">
        <v>1786</v>
      </c>
      <c r="E152" s="84" t="str">
        <f>V152</f>
        <v>Nürnberg West Bowling</v>
      </c>
      <c r="F152" s="77"/>
      <c r="G152" s="77"/>
      <c r="H152" s="77"/>
      <c r="I152" s="77"/>
      <c r="J152" s="77"/>
      <c r="K152" s="77"/>
      <c r="L152" s="29" t="s">
        <v>1784</v>
      </c>
      <c r="M152" s="86">
        <v>5</v>
      </c>
      <c r="N152" s="28"/>
      <c r="R152" s="49"/>
      <c r="S152" s="50">
        <v>6</v>
      </c>
      <c r="U152" s="30" t="s">
        <v>1786</v>
      </c>
      <c r="V152" s="84" t="str">
        <f>Schlüssel!$CE$2</f>
        <v>Nürnberg West Bowling</v>
      </c>
      <c r="X152" s="77"/>
      <c r="Y152" s="77"/>
      <c r="Z152" s="77"/>
      <c r="AA152" s="77"/>
      <c r="AB152" s="77"/>
      <c r="AC152" s="29" t="s">
        <v>1784</v>
      </c>
      <c r="AD152" s="34">
        <v>5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VLOOKUP(S152,Schlüssel!$A$5:$DZ$10,93)</f>
        <v>7</v>
      </c>
      <c r="W154" s="193" t="s">
        <v>10</v>
      </c>
      <c r="X154" s="191">
        <f>VLOOKUP(S152,Schlüssel!$A$5:$DZ$10,94)</f>
        <v>6</v>
      </c>
      <c r="Y154" s="193" t="s">
        <v>10</v>
      </c>
      <c r="Z154" s="191">
        <f>VLOOKUP(S152,Schlüssel!$A$5:$DZ$10,95)</f>
        <v>3</v>
      </c>
      <c r="AA154" s="193" t="s">
        <v>10</v>
      </c>
      <c r="AB154" s="191">
        <f>VLOOKUP(S152,Schlüssel!$A$5:$DZ$10,96)</f>
        <v>8</v>
      </c>
      <c r="AC154" s="193" t="s">
        <v>10</v>
      </c>
      <c r="AD154" s="192">
        <f>VLOOKUP(S152,Schlüssel!$A$5:$DZ$10,97)</f>
        <v>4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>Kohl, Oswald</v>
      </c>
      <c r="C157" s="18">
        <f>IF(T157=0,"",T157)</f>
        <v>25944</v>
      </c>
      <c r="D157" s="14">
        <f>IF(U157=0,"",U157)</f>
        <v>188</v>
      </c>
      <c r="E157" s="352">
        <f>IF(V157="","",V157)</f>
        <v>1</v>
      </c>
      <c r="F157" s="14">
        <f t="shared" ref="F157:F170" si="130">IF(W157=0,"",W157)</f>
        <v>169</v>
      </c>
      <c r="G157" s="352">
        <f>IF(X157="","",X157)</f>
        <v>0</v>
      </c>
      <c r="H157" s="14">
        <f t="shared" ref="H157:H170" si="131">IF(Y157=0,"",Y157)</f>
        <v>141</v>
      </c>
      <c r="I157" s="352">
        <f>IF(Z157="","",Z157)</f>
        <v>0</v>
      </c>
      <c r="J157" s="14">
        <f t="shared" ref="J157:J170" si="132">IF(AA157=0,"",AA157)</f>
        <v>169</v>
      </c>
      <c r="K157" s="352">
        <f>IF(AB157="","",AB157)</f>
        <v>1</v>
      </c>
      <c r="L157" s="14">
        <f t="shared" ref="L157:L170" si="133">IF(AC157=0,"",AC157)</f>
        <v>178</v>
      </c>
      <c r="M157" s="352">
        <f>IF(AD157="","",AD157)</f>
        <v>1</v>
      </c>
      <c r="N157" s="14">
        <f t="shared" ref="N157:N170" si="134">IF(AE157=0,"",AE157)</f>
        <v>845</v>
      </c>
      <c r="O157" s="352">
        <f>IF(AF157="","",AF157)</f>
        <v>3</v>
      </c>
      <c r="R157" s="355" t="s">
        <v>0</v>
      </c>
      <c r="S157" s="68" t="str">
        <f>IF(T157=0,"",VLOOKUP(T157,Starter!$A$1:$D$196,2,FALSE))</f>
        <v>Kohl, Oswald</v>
      </c>
      <c r="T157" s="175">
        <v>25944</v>
      </c>
      <c r="U157" s="183">
        <v>188</v>
      </c>
      <c r="V157" s="95">
        <f>IF(SUM(U157:U159)+U175=0,0,IF(ABS(SUM(U157:U159))=U175,0.5,IF(ABS(SUM(U157:U159))&gt;U175,1,0)))</f>
        <v>1</v>
      </c>
      <c r="W157" s="183">
        <v>169</v>
      </c>
      <c r="X157" s="95">
        <f>IF(SUM(W157:W159)+W175=0,0,IF(ABS(SUM(W157:W159))=W175,0.5,IF(ABS(SUM(W157:W159))&gt;W175,1,0)))</f>
        <v>0</v>
      </c>
      <c r="Y157" s="183">
        <v>141</v>
      </c>
      <c r="Z157" s="95">
        <f>IF(SUM(Y157:Y159)+Y175=0,0,IF(ABS(SUM(Y157:Y159))=Y175,0.5,IF(ABS(SUM(Y157:Y159))&gt;Y175,1,0)))</f>
        <v>0</v>
      </c>
      <c r="AA157" s="189">
        <v>169</v>
      </c>
      <c r="AB157" s="95">
        <f>IF(SUM(AA157:AA159)+AA175=0,0,IF(ABS(SUM(AA157:AA159))=AA175,0.5,IF(ABS(SUM(AA157:AA159))&gt;AA175,1,0)))</f>
        <v>1</v>
      </c>
      <c r="AC157" s="183">
        <v>178</v>
      </c>
      <c r="AD157" s="95">
        <f>IF(SUM(AC157:AC159)+AC175=0,0,IF(ABS(SUM(AC157:AC159))=AC175,0.5,IF(ABS(SUM(AC157:AC159))&gt;AC175,1,0)))</f>
        <v>1</v>
      </c>
      <c r="AE157" s="195">
        <f t="shared" ref="AE157:AE168" si="135">ABS(SUM(U157:U157))+ABS(SUM(W157:W157))+ABS(SUM(Y157:Y157))+ABS(SUM(AA157:AA157))+ABS(SUM(AC157:AC157))</f>
        <v>845</v>
      </c>
      <c r="AF157" s="180">
        <f>SUM(V157+X157+Z157+AB157+AD157)</f>
        <v>3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36">T157</f>
        <v>25944</v>
      </c>
      <c r="BE157" s="213">
        <f t="shared" ref="BE157:BE168" si="137">AE157</f>
        <v>845</v>
      </c>
      <c r="BF157" s="215">
        <f t="shared" ref="BF157:BF168" si="138">COUNT(BH157:BL157)</f>
        <v>5</v>
      </c>
      <c r="BG157" s="215">
        <f t="shared" ref="BG157:BG168" si="139">COUNTIF(BH157:BL157,"&gt;0")</f>
        <v>5</v>
      </c>
      <c r="BH157" s="215">
        <f t="shared" ref="BH157:BH168" si="140">IF(U157=0,"",U157)</f>
        <v>188</v>
      </c>
      <c r="BI157" s="215">
        <f t="shared" ref="BI157:BI168" si="141">IF(W157=0,"",W157)</f>
        <v>169</v>
      </c>
      <c r="BJ157" s="215">
        <f t="shared" ref="BJ157:BJ168" si="142">IF(Y157=0,"",Y157)</f>
        <v>141</v>
      </c>
      <c r="BK157" s="215">
        <f t="shared" ref="BK157:BK168" si="143">IF(AA157=0,"",AA157)</f>
        <v>169</v>
      </c>
      <c r="BL157" s="215">
        <f t="shared" ref="BL157:BL168" si="144">IF(AC157=0,"",AC157)</f>
        <v>178</v>
      </c>
      <c r="BM157" s="216"/>
      <c r="BN157" s="214"/>
      <c r="BO157" s="215">
        <f t="shared" ref="BO157:BO168" si="145">MAX(BH157:BL157)</f>
        <v>188</v>
      </c>
      <c r="BP157" s="215">
        <f t="shared" ref="BP157:BP168" si="146">IF(BO157&lt;MAX(BO:BO),0,BO157+ROW()/1000000000)</f>
        <v>0</v>
      </c>
      <c r="BQ157" s="215" t="str">
        <f>+S153</f>
        <v>Adler Nürnberg 1</v>
      </c>
      <c r="BR157" s="214">
        <f t="shared" ref="BR157:BR168" si="147">RANK(BP157,BP:BP)</f>
        <v>2</v>
      </c>
      <c r="BS157" s="215">
        <f t="shared" ref="BS157:BS168" si="148">SUMIF(BH157:BL157,"&gt;0")</f>
        <v>845</v>
      </c>
      <c r="BT157" s="215">
        <f>IF(COUNTIF(BH157:BL157,"&gt;0")&lt;Spielorte!$A$23,0,BE157/Spielorte!$A$23)</f>
        <v>169</v>
      </c>
      <c r="BU157" s="215">
        <f t="shared" ref="BU157:BU168" si="149">IF(BT157&lt;MAX(BT:BT),0,BT157+ROW()/1000000000)</f>
        <v>0</v>
      </c>
      <c r="BV157" s="214">
        <f t="shared" ref="BV157:BV168" si="150">IF(BU157=0,0,RANK(BU157,BU:BU))</f>
        <v>0</v>
      </c>
    </row>
    <row r="158" spans="1:74" ht="17.100000000000001" customHeight="1" x14ac:dyDescent="0.2">
      <c r="A158" s="374"/>
      <c r="B158" s="19" t="str">
        <f t="shared" ref="B158:D170" si="151">IF(S158=0,"",S158)</f>
        <v/>
      </c>
      <c r="C158" s="20" t="str">
        <f t="shared" si="151"/>
        <v/>
      </c>
      <c r="D158" s="15" t="str">
        <f t="shared" si="151"/>
        <v/>
      </c>
      <c r="E158" s="353"/>
      <c r="F158" s="15" t="str">
        <f t="shared" si="130"/>
        <v/>
      </c>
      <c r="G158" s="353"/>
      <c r="H158" s="15" t="str">
        <f t="shared" si="131"/>
        <v/>
      </c>
      <c r="I158" s="353"/>
      <c r="J158" s="15" t="str">
        <f t="shared" si="132"/>
        <v/>
      </c>
      <c r="K158" s="353"/>
      <c r="L158" s="15" t="str">
        <f t="shared" si="133"/>
        <v/>
      </c>
      <c r="M158" s="353"/>
      <c r="N158" s="15" t="str">
        <f t="shared" si="134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35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36"/>
        <v>0</v>
      </c>
      <c r="BE158" s="213">
        <f t="shared" si="137"/>
        <v>0</v>
      </c>
      <c r="BF158" s="215">
        <f t="shared" si="138"/>
        <v>0</v>
      </c>
      <c r="BG158" s="215">
        <f t="shared" si="139"/>
        <v>0</v>
      </c>
      <c r="BH158" s="215" t="str">
        <f t="shared" si="140"/>
        <v/>
      </c>
      <c r="BI158" s="215" t="str">
        <f t="shared" si="141"/>
        <v/>
      </c>
      <c r="BJ158" s="215" t="str">
        <f t="shared" si="142"/>
        <v/>
      </c>
      <c r="BK158" s="215" t="str">
        <f t="shared" si="143"/>
        <v/>
      </c>
      <c r="BL158" s="215" t="str">
        <f t="shared" si="144"/>
        <v/>
      </c>
      <c r="BM158" s="216"/>
      <c r="BN158" s="214"/>
      <c r="BO158" s="215">
        <f t="shared" si="145"/>
        <v>0</v>
      </c>
      <c r="BP158" s="215">
        <f t="shared" si="146"/>
        <v>0</v>
      </c>
      <c r="BQ158" s="215" t="str">
        <f t="shared" ref="BQ158:BQ168" si="152">+BQ157</f>
        <v>Adler Nürnberg 1</v>
      </c>
      <c r="BR158" s="214">
        <f t="shared" si="147"/>
        <v>2</v>
      </c>
      <c r="BS158" s="215">
        <f t="shared" si="148"/>
        <v>0</v>
      </c>
      <c r="BT158" s="215">
        <f>IF(COUNTIF(BH158:BL158,"&gt;0")&lt;Spielorte!$A$23,0,BE158/Spielorte!$A$23)</f>
        <v>0</v>
      </c>
      <c r="BU158" s="215">
        <f t="shared" si="149"/>
        <v>0</v>
      </c>
      <c r="BV158" s="214">
        <f t="shared" si="150"/>
        <v>0</v>
      </c>
    </row>
    <row r="159" spans="1:74" ht="17.100000000000001" customHeight="1" thickBot="1" x14ac:dyDescent="0.25">
      <c r="A159" s="375"/>
      <c r="B159" s="21" t="str">
        <f t="shared" si="151"/>
        <v/>
      </c>
      <c r="C159" s="22" t="str">
        <f t="shared" si="151"/>
        <v/>
      </c>
      <c r="D159" s="9" t="str">
        <f t="shared" si="151"/>
        <v/>
      </c>
      <c r="E159" s="354"/>
      <c r="F159" s="9" t="str">
        <f t="shared" si="130"/>
        <v/>
      </c>
      <c r="G159" s="354"/>
      <c r="H159" s="9" t="str">
        <f t="shared" si="131"/>
        <v/>
      </c>
      <c r="I159" s="354"/>
      <c r="J159" s="9" t="str">
        <f t="shared" si="132"/>
        <v/>
      </c>
      <c r="K159" s="354"/>
      <c r="L159" s="9" t="str">
        <f t="shared" si="133"/>
        <v/>
      </c>
      <c r="M159" s="354"/>
      <c r="N159" s="9" t="str">
        <f t="shared" si="134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35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36"/>
        <v>0</v>
      </c>
      <c r="BE159" s="213">
        <f t="shared" si="137"/>
        <v>0</v>
      </c>
      <c r="BF159" s="215">
        <f t="shared" si="138"/>
        <v>0</v>
      </c>
      <c r="BG159" s="215">
        <f t="shared" si="139"/>
        <v>0</v>
      </c>
      <c r="BH159" s="215" t="str">
        <f t="shared" si="140"/>
        <v/>
      </c>
      <c r="BI159" s="215" t="str">
        <f t="shared" si="141"/>
        <v/>
      </c>
      <c r="BJ159" s="215" t="str">
        <f t="shared" si="142"/>
        <v/>
      </c>
      <c r="BK159" s="215" t="str">
        <f t="shared" si="143"/>
        <v/>
      </c>
      <c r="BL159" s="215" t="str">
        <f t="shared" si="144"/>
        <v/>
      </c>
      <c r="BM159" s="216"/>
      <c r="BN159" s="214"/>
      <c r="BO159" s="215">
        <f t="shared" si="145"/>
        <v>0</v>
      </c>
      <c r="BP159" s="215">
        <f t="shared" si="146"/>
        <v>0</v>
      </c>
      <c r="BQ159" s="215" t="str">
        <f t="shared" si="152"/>
        <v>Adler Nürnberg 1</v>
      </c>
      <c r="BR159" s="214">
        <f t="shared" si="147"/>
        <v>2</v>
      </c>
      <c r="BS159" s="215">
        <f t="shared" si="148"/>
        <v>0</v>
      </c>
      <c r="BT159" s="215">
        <f>IF(COUNTIF(BH159:BL159,"&gt;0")&lt;Spielorte!$A$23,0,BE159/Spielorte!$A$23)</f>
        <v>0</v>
      </c>
      <c r="BU159" s="215">
        <f t="shared" si="149"/>
        <v>0</v>
      </c>
      <c r="BV159" s="214">
        <f t="shared" si="150"/>
        <v>0</v>
      </c>
    </row>
    <row r="160" spans="1:74" ht="17.100000000000001" customHeight="1" x14ac:dyDescent="0.2">
      <c r="A160" s="373" t="s">
        <v>2</v>
      </c>
      <c r="B160" s="17" t="str">
        <f t="shared" si="151"/>
        <v>Beier, Thomas</v>
      </c>
      <c r="C160" s="18">
        <f t="shared" si="151"/>
        <v>16707</v>
      </c>
      <c r="D160" s="14">
        <f t="shared" si="151"/>
        <v>187</v>
      </c>
      <c r="E160" s="352">
        <f>IF(V160="","",V160)</f>
        <v>1</v>
      </c>
      <c r="F160" s="14">
        <f t="shared" si="130"/>
        <v>167</v>
      </c>
      <c r="G160" s="352">
        <f>IF(X160="","",X160)</f>
        <v>0</v>
      </c>
      <c r="H160" s="14">
        <f t="shared" si="131"/>
        <v>175</v>
      </c>
      <c r="I160" s="352">
        <f>IF(Z160="","",Z160)</f>
        <v>0</v>
      </c>
      <c r="J160" s="14">
        <f t="shared" si="132"/>
        <v>171</v>
      </c>
      <c r="K160" s="352">
        <f>IF(AB160="","",AB160)</f>
        <v>1</v>
      </c>
      <c r="L160" s="14">
        <f t="shared" si="133"/>
        <v>170</v>
      </c>
      <c r="M160" s="352">
        <f>IF(AD160="","",AD160)</f>
        <v>0</v>
      </c>
      <c r="N160" s="14">
        <f t="shared" si="134"/>
        <v>870</v>
      </c>
      <c r="O160" s="352">
        <f>IF(AF160="","",AF160)</f>
        <v>2</v>
      </c>
      <c r="R160" s="355" t="s">
        <v>2</v>
      </c>
      <c r="S160" s="68" t="str">
        <f>IF(T160=0,"",VLOOKUP(T160,Starter!$A$1:$D$196,2,FALSE))</f>
        <v>Beier, Thomas</v>
      </c>
      <c r="T160" s="178">
        <v>16707</v>
      </c>
      <c r="U160" s="186">
        <v>187</v>
      </c>
      <c r="V160" s="95">
        <f>IF(SUM(U160:U162)+U176=0,0,IF(ABS(SUM(U160:U162))=U176,0.5,IF(ABS(SUM(U160:U162))&gt;U176,1,0)))</f>
        <v>1</v>
      </c>
      <c r="W160" s="186">
        <v>167</v>
      </c>
      <c r="X160" s="95">
        <f>IF(SUM(W160:W162)+W176=0,0,IF(ABS(SUM(W160:W162))=W176,0.5,IF(ABS(SUM(W160:W162))&gt;W176,1,0)))</f>
        <v>0</v>
      </c>
      <c r="Y160" s="186">
        <v>175</v>
      </c>
      <c r="Z160" s="95">
        <f>IF(SUM(Y160:Y162)+Y176=0,0,IF(ABS(SUM(Y160:Y162))=Y176,0.5,IF(ABS(SUM(Y160:Y162))&gt;Y176,1,0)))</f>
        <v>0</v>
      </c>
      <c r="AA160" s="186">
        <v>171</v>
      </c>
      <c r="AB160" s="95">
        <f>IF(SUM(AA160:AA162)+AA176=0,0,IF(ABS(SUM(AA160:AA162))=AA176,0.5,IF(ABS(SUM(AA160:AA162))&gt;AA176,1,0)))</f>
        <v>1</v>
      </c>
      <c r="AC160" s="186">
        <v>170</v>
      </c>
      <c r="AD160" s="95">
        <f>IF(SUM(AC160:AC162)+AC176=0,0,IF(ABS(SUM(AC160:AC162))=AC176,0.5,IF(ABS(SUM(AC160:AC162))&gt;AC176,1,0)))</f>
        <v>0</v>
      </c>
      <c r="AE160" s="195">
        <f t="shared" si="135"/>
        <v>870</v>
      </c>
      <c r="AF160" s="180">
        <f>SUM(V160+X160+Z160+AB160+AD160)</f>
        <v>2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36"/>
        <v>16707</v>
      </c>
      <c r="BE160" s="213">
        <f t="shared" si="137"/>
        <v>870</v>
      </c>
      <c r="BF160" s="215">
        <f t="shared" si="138"/>
        <v>5</v>
      </c>
      <c r="BG160" s="215">
        <f t="shared" si="139"/>
        <v>5</v>
      </c>
      <c r="BH160" s="215">
        <f t="shared" si="140"/>
        <v>187</v>
      </c>
      <c r="BI160" s="215">
        <f t="shared" si="141"/>
        <v>167</v>
      </c>
      <c r="BJ160" s="215">
        <f t="shared" si="142"/>
        <v>175</v>
      </c>
      <c r="BK160" s="215">
        <f t="shared" si="143"/>
        <v>171</v>
      </c>
      <c r="BL160" s="215">
        <f t="shared" si="144"/>
        <v>170</v>
      </c>
      <c r="BM160" s="216"/>
      <c r="BN160" s="214"/>
      <c r="BO160" s="215">
        <f t="shared" si="145"/>
        <v>187</v>
      </c>
      <c r="BP160" s="215">
        <f t="shared" si="146"/>
        <v>0</v>
      </c>
      <c r="BQ160" s="215" t="str">
        <f t="shared" si="152"/>
        <v>Adler Nürnberg 1</v>
      </c>
      <c r="BR160" s="214">
        <f t="shared" si="147"/>
        <v>2</v>
      </c>
      <c r="BS160" s="215">
        <f t="shared" si="148"/>
        <v>870</v>
      </c>
      <c r="BT160" s="215">
        <f>IF(COUNTIF(BH160:BL160,"&gt;0")&lt;Spielorte!$A$23,0,BE160/Spielorte!$A$23)</f>
        <v>174</v>
      </c>
      <c r="BU160" s="215">
        <f t="shared" si="149"/>
        <v>0</v>
      </c>
      <c r="BV160" s="214">
        <f t="shared" si="150"/>
        <v>0</v>
      </c>
    </row>
    <row r="161" spans="1:74" ht="17.100000000000001" customHeight="1" x14ac:dyDescent="0.2">
      <c r="A161" s="374"/>
      <c r="B161" s="19" t="str">
        <f t="shared" si="151"/>
        <v/>
      </c>
      <c r="C161" s="20" t="str">
        <f t="shared" si="151"/>
        <v/>
      </c>
      <c r="D161" s="15" t="str">
        <f t="shared" si="151"/>
        <v/>
      </c>
      <c r="E161" s="353"/>
      <c r="F161" s="15" t="str">
        <f t="shared" si="130"/>
        <v/>
      </c>
      <c r="G161" s="353"/>
      <c r="H161" s="15" t="str">
        <f t="shared" si="131"/>
        <v/>
      </c>
      <c r="I161" s="353"/>
      <c r="J161" s="15" t="str">
        <f t="shared" si="132"/>
        <v/>
      </c>
      <c r="K161" s="353"/>
      <c r="L161" s="15" t="str">
        <f t="shared" si="133"/>
        <v/>
      </c>
      <c r="M161" s="353"/>
      <c r="N161" s="15" t="str">
        <f t="shared" si="134"/>
        <v/>
      </c>
      <c r="O161" s="353"/>
      <c r="R161" s="356"/>
      <c r="S161" s="68" t="str">
        <f>IF(T161=0,"",VLOOKUP(T161,Starter!$A$1:$D$196,2,FALSE))</f>
        <v/>
      </c>
      <c r="T161" s="176"/>
      <c r="U161" s="184"/>
      <c r="V161" s="96"/>
      <c r="W161" s="184"/>
      <c r="X161" s="96"/>
      <c r="Y161" s="184"/>
      <c r="Z161" s="96"/>
      <c r="AA161" s="184"/>
      <c r="AB161" s="96"/>
      <c r="AC161" s="184"/>
      <c r="AD161" s="96"/>
      <c r="AE161" s="196">
        <f t="shared" si="135"/>
        <v>0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36"/>
        <v>0</v>
      </c>
      <c r="BE161" s="213">
        <f t="shared" si="137"/>
        <v>0</v>
      </c>
      <c r="BF161" s="215">
        <f t="shared" si="138"/>
        <v>0</v>
      </c>
      <c r="BG161" s="215">
        <f t="shared" si="139"/>
        <v>0</v>
      </c>
      <c r="BH161" s="215" t="str">
        <f t="shared" si="140"/>
        <v/>
      </c>
      <c r="BI161" s="215" t="str">
        <f t="shared" si="141"/>
        <v/>
      </c>
      <c r="BJ161" s="215" t="str">
        <f t="shared" si="142"/>
        <v/>
      </c>
      <c r="BK161" s="215" t="str">
        <f t="shared" si="143"/>
        <v/>
      </c>
      <c r="BL161" s="215" t="str">
        <f t="shared" si="144"/>
        <v/>
      </c>
      <c r="BM161" s="216"/>
      <c r="BN161" s="214"/>
      <c r="BO161" s="215">
        <f t="shared" si="145"/>
        <v>0</v>
      </c>
      <c r="BP161" s="215">
        <f t="shared" si="146"/>
        <v>0</v>
      </c>
      <c r="BQ161" s="215" t="str">
        <f t="shared" si="152"/>
        <v>Adler Nürnberg 1</v>
      </c>
      <c r="BR161" s="214">
        <f t="shared" si="147"/>
        <v>2</v>
      </c>
      <c r="BS161" s="215">
        <f t="shared" si="148"/>
        <v>0</v>
      </c>
      <c r="BT161" s="215">
        <f>IF(COUNTIF(BH161:BL161,"&gt;0")&lt;Spielorte!$A$23,0,BE161/Spielorte!$A$23)</f>
        <v>0</v>
      </c>
      <c r="BU161" s="215">
        <f t="shared" si="149"/>
        <v>0</v>
      </c>
      <c r="BV161" s="214">
        <f t="shared" si="150"/>
        <v>0</v>
      </c>
    </row>
    <row r="162" spans="1:74" ht="17.100000000000001" customHeight="1" thickBot="1" x14ac:dyDescent="0.25">
      <c r="A162" s="375"/>
      <c r="B162" s="21" t="str">
        <f t="shared" si="151"/>
        <v/>
      </c>
      <c r="C162" s="22" t="str">
        <f t="shared" si="151"/>
        <v/>
      </c>
      <c r="D162" s="9" t="str">
        <f t="shared" si="151"/>
        <v/>
      </c>
      <c r="E162" s="354"/>
      <c r="F162" s="9" t="str">
        <f t="shared" si="130"/>
        <v/>
      </c>
      <c r="G162" s="354"/>
      <c r="H162" s="9" t="str">
        <f t="shared" si="131"/>
        <v/>
      </c>
      <c r="I162" s="354"/>
      <c r="J162" s="9" t="str">
        <f t="shared" si="132"/>
        <v/>
      </c>
      <c r="K162" s="354"/>
      <c r="L162" s="9" t="str">
        <f t="shared" si="133"/>
        <v/>
      </c>
      <c r="M162" s="354"/>
      <c r="N162" s="9" t="str">
        <f t="shared" si="134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35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36"/>
        <v>0</v>
      </c>
      <c r="BE162" s="213">
        <f t="shared" si="137"/>
        <v>0</v>
      </c>
      <c r="BF162" s="215">
        <f t="shared" si="138"/>
        <v>0</v>
      </c>
      <c r="BG162" s="215">
        <f t="shared" si="139"/>
        <v>0</v>
      </c>
      <c r="BH162" s="215" t="str">
        <f t="shared" si="140"/>
        <v/>
      </c>
      <c r="BI162" s="215" t="str">
        <f t="shared" si="141"/>
        <v/>
      </c>
      <c r="BJ162" s="215" t="str">
        <f t="shared" si="142"/>
        <v/>
      </c>
      <c r="BK162" s="215" t="str">
        <f t="shared" si="143"/>
        <v/>
      </c>
      <c r="BL162" s="215" t="str">
        <f t="shared" si="144"/>
        <v/>
      </c>
      <c r="BM162" s="216"/>
      <c r="BN162" s="214"/>
      <c r="BO162" s="215">
        <f t="shared" si="145"/>
        <v>0</v>
      </c>
      <c r="BP162" s="215">
        <f t="shared" si="146"/>
        <v>0</v>
      </c>
      <c r="BQ162" s="215" t="str">
        <f t="shared" si="152"/>
        <v>Adler Nürnberg 1</v>
      </c>
      <c r="BR162" s="214">
        <f t="shared" si="147"/>
        <v>2</v>
      </c>
      <c r="BS162" s="215">
        <f t="shared" si="148"/>
        <v>0</v>
      </c>
      <c r="BT162" s="215">
        <f>IF(COUNTIF(BH162:BL162,"&gt;0")&lt;Spielorte!$A$23,0,BE162/Spielorte!$A$23)</f>
        <v>0</v>
      </c>
      <c r="BU162" s="215">
        <f t="shared" si="149"/>
        <v>0</v>
      </c>
      <c r="BV162" s="214">
        <f t="shared" si="150"/>
        <v>0</v>
      </c>
    </row>
    <row r="163" spans="1:74" ht="17.100000000000001" customHeight="1" x14ac:dyDescent="0.2">
      <c r="A163" s="373" t="s">
        <v>3</v>
      </c>
      <c r="B163" s="17" t="str">
        <f t="shared" si="151"/>
        <v>Schmelzl, Werner</v>
      </c>
      <c r="C163" s="18">
        <f t="shared" si="151"/>
        <v>25811</v>
      </c>
      <c r="D163" s="14">
        <f t="shared" si="151"/>
        <v>159</v>
      </c>
      <c r="E163" s="352">
        <f>IF(V163="","",V163)</f>
        <v>1</v>
      </c>
      <c r="F163" s="14">
        <f t="shared" si="130"/>
        <v>199</v>
      </c>
      <c r="G163" s="352">
        <f>IF(X163="","",X163)</f>
        <v>1</v>
      </c>
      <c r="H163" s="14">
        <f t="shared" si="131"/>
        <v>172</v>
      </c>
      <c r="I163" s="352">
        <f>IF(Z163="","",Z163)</f>
        <v>0</v>
      </c>
      <c r="J163" s="14">
        <f t="shared" si="132"/>
        <v>172</v>
      </c>
      <c r="K163" s="352">
        <f>IF(AB163="","",AB163)</f>
        <v>1</v>
      </c>
      <c r="L163" s="14">
        <f t="shared" si="133"/>
        <v>181</v>
      </c>
      <c r="M163" s="352">
        <f>IF(AD163="","",AD163)</f>
        <v>1</v>
      </c>
      <c r="N163" s="14">
        <f t="shared" si="134"/>
        <v>883</v>
      </c>
      <c r="O163" s="352">
        <f>IF(AF163="","",AF163)</f>
        <v>4</v>
      </c>
      <c r="R163" s="355" t="s">
        <v>3</v>
      </c>
      <c r="S163" s="68" t="str">
        <f>IF(T163=0,"",VLOOKUP(T163,Starter!$A$1:$D$196,2,FALSE))</f>
        <v>Schmelzl, Werner</v>
      </c>
      <c r="T163" s="178">
        <v>25811</v>
      </c>
      <c r="U163" s="186">
        <v>159</v>
      </c>
      <c r="V163" s="95">
        <f>IF(SUM(U163:U165)+U177=0,0,IF(ABS(SUM(U163:U165))=U177,0.5,IF(ABS(SUM(U163:U165))&gt;U177,1,0)))</f>
        <v>1</v>
      </c>
      <c r="W163" s="186">
        <v>199</v>
      </c>
      <c r="X163" s="95">
        <f>IF(SUM(W163:W165)+W177=0,0,IF(ABS(SUM(W163:W165))=W177,0.5,IF(ABS(SUM(W163:W165))&gt;W177,1,0)))</f>
        <v>1</v>
      </c>
      <c r="Y163" s="186">
        <v>172</v>
      </c>
      <c r="Z163" s="95">
        <f>IF(SUM(Y163:Y165)+Y177=0,0,IF(ABS(SUM(Y163:Y165))=Y177,0.5,IF(ABS(SUM(Y163:Y165))&gt;Y177,1,0)))</f>
        <v>0</v>
      </c>
      <c r="AA163" s="186">
        <v>172</v>
      </c>
      <c r="AB163" s="95">
        <f>IF(SUM(AA163:AA165)+AA177=0,0,IF(ABS(SUM(AA163:AA165))=AA177,0.5,IF(ABS(SUM(AA163:AA165))&gt;AA177,1,0)))</f>
        <v>1</v>
      </c>
      <c r="AC163" s="186">
        <v>181</v>
      </c>
      <c r="AD163" s="95">
        <f>IF(SUM(AC163:AC165)+AC177=0,0,IF(ABS(SUM(AC163:AC165))=AC177,0.5,IF(ABS(SUM(AC163:AC165))&gt;AC177,1,0)))</f>
        <v>1</v>
      </c>
      <c r="AE163" s="195">
        <f t="shared" si="135"/>
        <v>883</v>
      </c>
      <c r="AF163" s="180">
        <f>SUM(V163+X163+Z163+AB163+AD163)</f>
        <v>4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36"/>
        <v>25811</v>
      </c>
      <c r="BE163" s="213">
        <f t="shared" si="137"/>
        <v>883</v>
      </c>
      <c r="BF163" s="215">
        <f t="shared" si="138"/>
        <v>5</v>
      </c>
      <c r="BG163" s="215">
        <f t="shared" si="139"/>
        <v>5</v>
      </c>
      <c r="BH163" s="215">
        <f t="shared" si="140"/>
        <v>159</v>
      </c>
      <c r="BI163" s="215">
        <f t="shared" si="141"/>
        <v>199</v>
      </c>
      <c r="BJ163" s="215">
        <f t="shared" si="142"/>
        <v>172</v>
      </c>
      <c r="BK163" s="215">
        <f t="shared" si="143"/>
        <v>172</v>
      </c>
      <c r="BL163" s="215">
        <f t="shared" si="144"/>
        <v>181</v>
      </c>
      <c r="BM163" s="216"/>
      <c r="BN163" s="214"/>
      <c r="BO163" s="215">
        <f t="shared" si="145"/>
        <v>199</v>
      </c>
      <c r="BP163" s="215">
        <f t="shared" si="146"/>
        <v>0</v>
      </c>
      <c r="BQ163" s="215" t="str">
        <f t="shared" si="152"/>
        <v>Adler Nürnberg 1</v>
      </c>
      <c r="BR163" s="214">
        <f t="shared" si="147"/>
        <v>2</v>
      </c>
      <c r="BS163" s="215">
        <f t="shared" si="148"/>
        <v>883</v>
      </c>
      <c r="BT163" s="215">
        <f>IF(COUNTIF(BH163:BL163,"&gt;0")&lt;Spielorte!$A$23,0,BE163/Spielorte!$A$23)</f>
        <v>176.6</v>
      </c>
      <c r="BU163" s="215">
        <f t="shared" si="149"/>
        <v>0</v>
      </c>
      <c r="BV163" s="214">
        <f t="shared" si="150"/>
        <v>0</v>
      </c>
    </row>
    <row r="164" spans="1:74" ht="17.100000000000001" customHeight="1" x14ac:dyDescent="0.2">
      <c r="A164" s="374"/>
      <c r="B164" s="19" t="str">
        <f t="shared" si="151"/>
        <v/>
      </c>
      <c r="C164" s="20" t="str">
        <f t="shared" si="151"/>
        <v/>
      </c>
      <c r="D164" s="15" t="str">
        <f t="shared" si="151"/>
        <v/>
      </c>
      <c r="E164" s="353"/>
      <c r="F164" s="15" t="str">
        <f t="shared" si="130"/>
        <v/>
      </c>
      <c r="G164" s="353"/>
      <c r="H164" s="15" t="str">
        <f t="shared" si="131"/>
        <v/>
      </c>
      <c r="I164" s="353"/>
      <c r="J164" s="15" t="str">
        <f t="shared" si="132"/>
        <v/>
      </c>
      <c r="K164" s="353"/>
      <c r="L164" s="15" t="str">
        <f t="shared" si="133"/>
        <v/>
      </c>
      <c r="M164" s="353"/>
      <c r="N164" s="15" t="str">
        <f t="shared" si="134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35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36"/>
        <v>0</v>
      </c>
      <c r="BE164" s="213">
        <f t="shared" si="137"/>
        <v>0</v>
      </c>
      <c r="BF164" s="215">
        <f t="shared" si="138"/>
        <v>0</v>
      </c>
      <c r="BG164" s="215">
        <f t="shared" si="139"/>
        <v>0</v>
      </c>
      <c r="BH164" s="215" t="str">
        <f t="shared" si="140"/>
        <v/>
      </c>
      <c r="BI164" s="215" t="str">
        <f t="shared" si="141"/>
        <v/>
      </c>
      <c r="BJ164" s="215" t="str">
        <f t="shared" si="142"/>
        <v/>
      </c>
      <c r="BK164" s="215" t="str">
        <f t="shared" si="143"/>
        <v/>
      </c>
      <c r="BL164" s="215" t="str">
        <f t="shared" si="144"/>
        <v/>
      </c>
      <c r="BM164" s="216"/>
      <c r="BN164" s="214"/>
      <c r="BO164" s="215">
        <f t="shared" si="145"/>
        <v>0</v>
      </c>
      <c r="BP164" s="215">
        <f t="shared" si="146"/>
        <v>0</v>
      </c>
      <c r="BQ164" s="215" t="str">
        <f t="shared" si="152"/>
        <v>Adler Nürnberg 1</v>
      </c>
      <c r="BR164" s="214">
        <f t="shared" si="147"/>
        <v>2</v>
      </c>
      <c r="BS164" s="215">
        <f t="shared" si="148"/>
        <v>0</v>
      </c>
      <c r="BT164" s="215">
        <f>IF(COUNTIF(BH164:BL164,"&gt;0")&lt;Spielorte!$A$23,0,BE164/Spielorte!$A$23)</f>
        <v>0</v>
      </c>
      <c r="BU164" s="215">
        <f t="shared" si="149"/>
        <v>0</v>
      </c>
      <c r="BV164" s="214">
        <f t="shared" si="150"/>
        <v>0</v>
      </c>
    </row>
    <row r="165" spans="1:74" ht="17.100000000000001" customHeight="1" thickBot="1" x14ac:dyDescent="0.25">
      <c r="A165" s="375"/>
      <c r="B165" s="21" t="str">
        <f t="shared" si="151"/>
        <v/>
      </c>
      <c r="C165" s="22" t="str">
        <f t="shared" si="151"/>
        <v/>
      </c>
      <c r="D165" s="9" t="str">
        <f t="shared" si="151"/>
        <v/>
      </c>
      <c r="E165" s="354"/>
      <c r="F165" s="9" t="str">
        <f t="shared" si="130"/>
        <v/>
      </c>
      <c r="G165" s="354"/>
      <c r="H165" s="9" t="str">
        <f t="shared" si="131"/>
        <v/>
      </c>
      <c r="I165" s="354"/>
      <c r="J165" s="9" t="str">
        <f t="shared" si="132"/>
        <v/>
      </c>
      <c r="K165" s="354"/>
      <c r="L165" s="9" t="str">
        <f t="shared" si="133"/>
        <v/>
      </c>
      <c r="M165" s="354"/>
      <c r="N165" s="9" t="str">
        <f t="shared" si="134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35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36"/>
        <v>0</v>
      </c>
      <c r="BE165" s="213">
        <f t="shared" si="137"/>
        <v>0</v>
      </c>
      <c r="BF165" s="215">
        <f t="shared" si="138"/>
        <v>0</v>
      </c>
      <c r="BG165" s="215">
        <f t="shared" si="139"/>
        <v>0</v>
      </c>
      <c r="BH165" s="215" t="str">
        <f t="shared" si="140"/>
        <v/>
      </c>
      <c r="BI165" s="215" t="str">
        <f t="shared" si="141"/>
        <v/>
      </c>
      <c r="BJ165" s="215" t="str">
        <f t="shared" si="142"/>
        <v/>
      </c>
      <c r="BK165" s="215" t="str">
        <f t="shared" si="143"/>
        <v/>
      </c>
      <c r="BL165" s="215" t="str">
        <f t="shared" si="144"/>
        <v/>
      </c>
      <c r="BM165" s="216"/>
      <c r="BN165" s="214"/>
      <c r="BO165" s="215">
        <f t="shared" si="145"/>
        <v>0</v>
      </c>
      <c r="BP165" s="215">
        <f t="shared" si="146"/>
        <v>0</v>
      </c>
      <c r="BQ165" s="215" t="str">
        <f t="shared" si="152"/>
        <v>Adler Nürnberg 1</v>
      </c>
      <c r="BR165" s="214">
        <f t="shared" si="147"/>
        <v>2</v>
      </c>
      <c r="BS165" s="215">
        <f t="shared" si="148"/>
        <v>0</v>
      </c>
      <c r="BT165" s="215">
        <f>IF(COUNTIF(BH165:BL165,"&gt;0")&lt;Spielorte!$A$23,0,BE165/Spielorte!$A$23)</f>
        <v>0</v>
      </c>
      <c r="BU165" s="215">
        <f t="shared" si="149"/>
        <v>0</v>
      </c>
      <c r="BV165" s="214">
        <f t="shared" si="150"/>
        <v>0</v>
      </c>
    </row>
    <row r="166" spans="1:74" ht="17.100000000000001" customHeight="1" x14ac:dyDescent="0.2">
      <c r="A166" s="373" t="s">
        <v>11</v>
      </c>
      <c r="B166" s="17" t="str">
        <f>IF(S166=0,"",S166)</f>
        <v>Schmitt, Peter</v>
      </c>
      <c r="C166" s="18">
        <f t="shared" si="151"/>
        <v>7761</v>
      </c>
      <c r="D166" s="14">
        <f t="shared" si="151"/>
        <v>146</v>
      </c>
      <c r="E166" s="352">
        <f>IF(V166="","",V166)</f>
        <v>0</v>
      </c>
      <c r="F166" s="14">
        <f t="shared" si="130"/>
        <v>147</v>
      </c>
      <c r="G166" s="352">
        <f>IF(X166="","",X166)</f>
        <v>0</v>
      </c>
      <c r="H166" s="14">
        <f t="shared" si="131"/>
        <v>154</v>
      </c>
      <c r="I166" s="352">
        <f>IF(Z166="","",Z166)</f>
        <v>1</v>
      </c>
      <c r="J166" s="14">
        <f t="shared" si="132"/>
        <v>175</v>
      </c>
      <c r="K166" s="352">
        <f>IF(AB166="","",AB166)</f>
        <v>0</v>
      </c>
      <c r="L166" s="14">
        <f t="shared" si="133"/>
        <v>147</v>
      </c>
      <c r="M166" s="352">
        <f>IF(AD166="","",AD166)</f>
        <v>0</v>
      </c>
      <c r="N166" s="14">
        <f t="shared" si="134"/>
        <v>769</v>
      </c>
      <c r="O166" s="352">
        <f>IF(AF166="","",AF166)</f>
        <v>1</v>
      </c>
      <c r="R166" s="355" t="s">
        <v>11</v>
      </c>
      <c r="S166" s="68" t="str">
        <f>IF(T166=0,"",VLOOKUP(T166,Starter!$A$1:$D$196,2,FALSE))</f>
        <v>Schmitt, Peter</v>
      </c>
      <c r="T166" s="178">
        <v>7761</v>
      </c>
      <c r="U166" s="186">
        <v>146</v>
      </c>
      <c r="V166" s="95">
        <f>IF(SUM(U166:U168)+U178=0,0,IF(ABS(SUM(U166:U168))=U178,0.5,IF(ABS(SUM(U166:U168))&gt;U178,1,0)))</f>
        <v>0</v>
      </c>
      <c r="W166" s="186">
        <v>147</v>
      </c>
      <c r="X166" s="95">
        <f>IF(SUM(W166:W168)+W178=0,0,IF(ABS(SUM(W166:W168))=W178,0.5,IF(ABS(SUM(W166:W168))&gt;W178,1,0)))</f>
        <v>0</v>
      </c>
      <c r="Y166" s="186">
        <v>154</v>
      </c>
      <c r="Z166" s="95">
        <f>IF(SUM(Y166:Y168)+Y178=0,0,IF(ABS(SUM(Y166:Y168))=Y178,0.5,IF(ABS(SUM(Y166:Y168))&gt;Y178,1,0)))</f>
        <v>1</v>
      </c>
      <c r="AA166" s="186">
        <v>175</v>
      </c>
      <c r="AB166" s="95">
        <f>IF(SUM(AA166:AA168)+AA178=0,0,IF(ABS(SUM(AA166:AA168))=AA178,0.5,IF(ABS(SUM(AA166:AA168))&gt;AA178,1,0)))</f>
        <v>0</v>
      </c>
      <c r="AC166" s="186">
        <v>147</v>
      </c>
      <c r="AD166" s="95">
        <f>IF(SUM(AC166:AC168)+AC178=0,0,IF(ABS(SUM(AC166:AC168))=AC178,0.5,IF(ABS(SUM(AC166:AC168))&gt;AC178,1,0)))</f>
        <v>0</v>
      </c>
      <c r="AE166" s="195">
        <f t="shared" si="135"/>
        <v>769</v>
      </c>
      <c r="AF166" s="180">
        <f>SUM(V166+X166+Z166+AB166+AD166)</f>
        <v>1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36"/>
        <v>7761</v>
      </c>
      <c r="BE166" s="213">
        <f t="shared" si="137"/>
        <v>769</v>
      </c>
      <c r="BF166" s="215">
        <f t="shared" si="138"/>
        <v>5</v>
      </c>
      <c r="BG166" s="215">
        <f t="shared" si="139"/>
        <v>5</v>
      </c>
      <c r="BH166" s="215">
        <f t="shared" si="140"/>
        <v>146</v>
      </c>
      <c r="BI166" s="215">
        <f t="shared" si="141"/>
        <v>147</v>
      </c>
      <c r="BJ166" s="215">
        <f t="shared" si="142"/>
        <v>154</v>
      </c>
      <c r="BK166" s="215">
        <f t="shared" si="143"/>
        <v>175</v>
      </c>
      <c r="BL166" s="215">
        <f t="shared" si="144"/>
        <v>147</v>
      </c>
      <c r="BM166" s="216"/>
      <c r="BN166" s="214"/>
      <c r="BO166" s="215">
        <f t="shared" si="145"/>
        <v>175</v>
      </c>
      <c r="BP166" s="215">
        <f t="shared" si="146"/>
        <v>0</v>
      </c>
      <c r="BQ166" s="215" t="str">
        <f t="shared" si="152"/>
        <v>Adler Nürnberg 1</v>
      </c>
      <c r="BR166" s="214">
        <f t="shared" si="147"/>
        <v>2</v>
      </c>
      <c r="BS166" s="215">
        <f t="shared" si="148"/>
        <v>769</v>
      </c>
      <c r="BT166" s="215">
        <f>IF(COUNTIF(BH166:BL166,"&gt;0")&lt;Spielorte!$A$23,0,BE166/Spielorte!$A$23)</f>
        <v>153.80000000000001</v>
      </c>
      <c r="BU166" s="215">
        <f t="shared" si="149"/>
        <v>0</v>
      </c>
      <c r="BV166" s="214">
        <f t="shared" si="150"/>
        <v>0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51"/>
        <v/>
      </c>
      <c r="D167" s="15" t="str">
        <f t="shared" si="151"/>
        <v/>
      </c>
      <c r="E167" s="353"/>
      <c r="F167" s="15" t="str">
        <f t="shared" si="130"/>
        <v/>
      </c>
      <c r="G167" s="353"/>
      <c r="H167" s="15" t="str">
        <f t="shared" si="131"/>
        <v/>
      </c>
      <c r="I167" s="353"/>
      <c r="J167" s="15" t="str">
        <f t="shared" si="132"/>
        <v/>
      </c>
      <c r="K167" s="353"/>
      <c r="L167" s="15" t="str">
        <f t="shared" si="133"/>
        <v/>
      </c>
      <c r="M167" s="353"/>
      <c r="N167" s="15" t="str">
        <f t="shared" si="134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35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36"/>
        <v>0</v>
      </c>
      <c r="BE167" s="213">
        <f t="shared" si="137"/>
        <v>0</v>
      </c>
      <c r="BF167" s="215">
        <f t="shared" si="138"/>
        <v>0</v>
      </c>
      <c r="BG167" s="215">
        <f t="shared" si="139"/>
        <v>0</v>
      </c>
      <c r="BH167" s="215" t="str">
        <f t="shared" si="140"/>
        <v/>
      </c>
      <c r="BI167" s="215" t="str">
        <f t="shared" si="141"/>
        <v/>
      </c>
      <c r="BJ167" s="215" t="str">
        <f t="shared" si="142"/>
        <v/>
      </c>
      <c r="BK167" s="215" t="str">
        <f t="shared" si="143"/>
        <v/>
      </c>
      <c r="BL167" s="215" t="str">
        <f t="shared" si="144"/>
        <v/>
      </c>
      <c r="BM167" s="216"/>
      <c r="BN167" s="214"/>
      <c r="BO167" s="215">
        <f t="shared" si="145"/>
        <v>0</v>
      </c>
      <c r="BP167" s="215">
        <f t="shared" si="146"/>
        <v>0</v>
      </c>
      <c r="BQ167" s="215" t="str">
        <f t="shared" si="152"/>
        <v>Adler Nürnberg 1</v>
      </c>
      <c r="BR167" s="214">
        <f t="shared" si="147"/>
        <v>2</v>
      </c>
      <c r="BS167" s="215">
        <f t="shared" si="148"/>
        <v>0</v>
      </c>
      <c r="BT167" s="215">
        <f>IF(COUNTIF(BH167:BL167,"&gt;0")&lt;Spielorte!$A$23,0,BE167/Spielorte!$A$23)</f>
        <v>0</v>
      </c>
      <c r="BU167" s="215">
        <f t="shared" si="149"/>
        <v>0</v>
      </c>
      <c r="BV167" s="214">
        <f t="shared" si="150"/>
        <v>0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51"/>
        <v/>
      </c>
      <c r="D168" s="9" t="str">
        <f t="shared" si="151"/>
        <v/>
      </c>
      <c r="E168" s="354"/>
      <c r="F168" s="9" t="str">
        <f t="shared" si="130"/>
        <v/>
      </c>
      <c r="G168" s="354"/>
      <c r="H168" s="9" t="str">
        <f t="shared" si="131"/>
        <v/>
      </c>
      <c r="I168" s="354"/>
      <c r="J168" s="9" t="str">
        <f t="shared" si="132"/>
        <v/>
      </c>
      <c r="K168" s="354"/>
      <c r="L168" s="9" t="str">
        <f t="shared" si="133"/>
        <v/>
      </c>
      <c r="M168" s="354"/>
      <c r="N168" s="9" t="str">
        <f t="shared" si="134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35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36"/>
        <v>0</v>
      </c>
      <c r="BE168" s="213">
        <f t="shared" si="137"/>
        <v>0</v>
      </c>
      <c r="BF168" s="215">
        <f t="shared" si="138"/>
        <v>0</v>
      </c>
      <c r="BG168" s="215">
        <f t="shared" si="139"/>
        <v>0</v>
      </c>
      <c r="BH168" s="215" t="str">
        <f t="shared" si="140"/>
        <v/>
      </c>
      <c r="BI168" s="215" t="str">
        <f t="shared" si="141"/>
        <v/>
      </c>
      <c r="BJ168" s="215" t="str">
        <f t="shared" si="142"/>
        <v/>
      </c>
      <c r="BK168" s="215" t="str">
        <f t="shared" si="143"/>
        <v/>
      </c>
      <c r="BL168" s="215" t="str">
        <f t="shared" si="144"/>
        <v/>
      </c>
      <c r="BM168" s="216"/>
      <c r="BN168" s="214"/>
      <c r="BO168" s="215">
        <f t="shared" si="145"/>
        <v>0</v>
      </c>
      <c r="BP168" s="215">
        <f t="shared" si="146"/>
        <v>0</v>
      </c>
      <c r="BQ168" s="215" t="str">
        <f t="shared" si="152"/>
        <v>Adler Nürnberg 1</v>
      </c>
      <c r="BR168" s="214">
        <f t="shared" si="147"/>
        <v>2</v>
      </c>
      <c r="BS168" s="215">
        <f t="shared" si="148"/>
        <v>0</v>
      </c>
      <c r="BT168" s="215">
        <f>IF(COUNTIF(BH168:BL168,"&gt;0")&lt;Spielorte!$A$23,0,BE168/Spielorte!$A$23)</f>
        <v>0</v>
      </c>
      <c r="BU168" s="215">
        <f t="shared" si="149"/>
        <v>0</v>
      </c>
      <c r="BV168" s="214">
        <f t="shared" si="150"/>
        <v>0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51"/>
        <v/>
      </c>
      <c r="D169" s="16">
        <f t="shared" si="151"/>
        <v>680</v>
      </c>
      <c r="E169" s="12">
        <f>IF(V169="","",V169)</f>
        <v>0</v>
      </c>
      <c r="F169" s="16">
        <f t="shared" si="130"/>
        <v>682</v>
      </c>
      <c r="G169" s="12">
        <f>IF(X169="","",X169)</f>
        <v>0</v>
      </c>
      <c r="H169" s="16">
        <f t="shared" si="131"/>
        <v>642</v>
      </c>
      <c r="I169" s="12">
        <f>IF(Z169="","",Z169)</f>
        <v>0</v>
      </c>
      <c r="J169" s="16">
        <f t="shared" si="132"/>
        <v>687</v>
      </c>
      <c r="K169" s="12">
        <f>IF(AB169="","",AB169)</f>
        <v>2</v>
      </c>
      <c r="L169" s="16">
        <f t="shared" si="133"/>
        <v>676</v>
      </c>
      <c r="M169" s="12">
        <f>IF(AD169="","",AD169)</f>
        <v>0</v>
      </c>
      <c r="N169" s="16">
        <f t="shared" si="134"/>
        <v>3367</v>
      </c>
      <c r="O169" s="12">
        <f>IF(AF169="","",AF169)</f>
        <v>2</v>
      </c>
      <c r="S169" s="11" t="s">
        <v>1791</v>
      </c>
      <c r="T169" s="71"/>
      <c r="U169" s="188">
        <f>ABS(SUM(U157:U159))+ABS(SUM(U160:U162))+ABS(SUM(U163:U165))+ABS(SUM(U166:U168))</f>
        <v>680</v>
      </c>
      <c r="V169" s="98">
        <f>IF(U169+U179=0,0,IF(U169=U179,1,IF(U169&gt;U179,2,0)))</f>
        <v>0</v>
      </c>
      <c r="W169" s="188">
        <f>ABS(SUM(W157:W159))+ABS(SUM(W160:W162))+ABS(SUM(W163:W165))+ABS(SUM(W166:W168))</f>
        <v>682</v>
      </c>
      <c r="X169" s="98">
        <f>IF(W169+W179=0,0,IF(W169=W179,1,IF(W169&gt;W179,2,0)))</f>
        <v>0</v>
      </c>
      <c r="Y169" s="188">
        <f>ABS(SUM(Y157:Y159))+ABS(SUM(Y160:Y162))+ABS(SUM(Y163:Y165))+ABS(SUM(Y166:Y168))</f>
        <v>642</v>
      </c>
      <c r="Z169" s="98">
        <f>IF(Y169+Y179=0,0,IF(Y169=Y179,1,IF(Y169&gt;Y179,2,0)))</f>
        <v>0</v>
      </c>
      <c r="AA169" s="188">
        <f>ABS(SUM(AA157:AA159))+ABS(SUM(AA160:AA162))+ABS(SUM(AA163:AA165))+ABS(SUM(AA166:AA168))</f>
        <v>687</v>
      </c>
      <c r="AB169" s="98">
        <f>IF(AA169+AA179=0,0,IF(AA169=AA179,1,IF(AA169&gt;AA179,2,0)))</f>
        <v>2</v>
      </c>
      <c r="AC169" s="188">
        <f>ABS(SUM(AC157:AC159))+ABS(SUM(AC160:AC162))+ABS(SUM(AC163:AC165))+ABS(SUM(AC166:AC168))</f>
        <v>676</v>
      </c>
      <c r="AD169" s="98">
        <f>IF(AC169+AC179=0,0,IF(AC169=AC179,1,IF(AC169&gt;AC179,2,0)))</f>
        <v>0</v>
      </c>
      <c r="AE169" s="198">
        <f>SUM(U169+W169+Y169+AA169+AC169)</f>
        <v>3367</v>
      </c>
      <c r="AF169" s="12">
        <f>SUM(V169+X169+Z169+AB169+AD169)</f>
        <v>2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51"/>
        <v/>
      </c>
      <c r="D170" s="1" t="str">
        <f t="shared" si="151"/>
        <v/>
      </c>
      <c r="E170" s="23">
        <f>IF(V170="","",V170)</f>
        <v>3</v>
      </c>
      <c r="F170" s="1" t="str">
        <f t="shared" si="130"/>
        <v/>
      </c>
      <c r="G170" s="23">
        <f>IF(X170="","",X170)</f>
        <v>1</v>
      </c>
      <c r="H170" s="1" t="str">
        <f t="shared" si="131"/>
        <v/>
      </c>
      <c r="I170" s="23">
        <f>IF(Z170="","",Z170)</f>
        <v>1</v>
      </c>
      <c r="J170" s="1" t="str">
        <f t="shared" si="132"/>
        <v/>
      </c>
      <c r="K170" s="23">
        <f>IF(AB170="","",AB170)</f>
        <v>5</v>
      </c>
      <c r="L170" s="1" t="str">
        <f t="shared" si="133"/>
        <v/>
      </c>
      <c r="M170" s="23">
        <f>IF(AD170="","",AD170)</f>
        <v>2</v>
      </c>
      <c r="N170" s="1" t="str">
        <f t="shared" si="134"/>
        <v/>
      </c>
      <c r="O170" s="23">
        <f>IF(AF170="","",AF170)</f>
        <v>12</v>
      </c>
      <c r="S170" s="8" t="s">
        <v>1802</v>
      </c>
      <c r="T170" s="1"/>
      <c r="U170" s="1"/>
      <c r="V170" s="72">
        <f>SUM(V157:V169)</f>
        <v>3</v>
      </c>
      <c r="W170" s="1"/>
      <c r="X170" s="72">
        <f>SUM(X157:X169)</f>
        <v>1</v>
      </c>
      <c r="Y170" s="1"/>
      <c r="Z170" s="72">
        <f>SUM(Z157:Z169)</f>
        <v>1</v>
      </c>
      <c r="AA170" s="1"/>
      <c r="AB170" s="72">
        <f>SUM(AB157:AB169)</f>
        <v>5</v>
      </c>
      <c r="AC170" s="1"/>
      <c r="AD170" s="72">
        <f>SUM(AD157:AD169)</f>
        <v>2</v>
      </c>
      <c r="AE170" s="1"/>
      <c r="AF170" s="72">
        <f>SUM(AF157:AF169)</f>
        <v>12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12</v>
      </c>
      <c r="BB170" s="213">
        <f>AE169</f>
        <v>3367</v>
      </c>
      <c r="BC170" s="214">
        <f>+S152</f>
        <v>6</v>
      </c>
      <c r="BF170" s="215">
        <f>SUM(BF151:BF169)</f>
        <v>20</v>
      </c>
      <c r="BM170" s="212">
        <f>+BB170/1000000+BA170</f>
        <v>12.003367000000001</v>
      </c>
      <c r="BN170" s="214">
        <f>RANK(BM170,BM:BM)</f>
        <v>5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M172" si="153">IF(S172=0,"",S172)</f>
        <v>Gegner-Nr.:</v>
      </c>
      <c r="C172" s="5" t="str">
        <f t="shared" si="153"/>
        <v>&gt;&gt;&gt;&gt;</v>
      </c>
      <c r="D172" s="350">
        <f t="shared" si="153"/>
        <v>3</v>
      </c>
      <c r="E172" s="350" t="str">
        <f t="shared" si="153"/>
        <v/>
      </c>
      <c r="F172" s="350">
        <f t="shared" si="153"/>
        <v>2</v>
      </c>
      <c r="G172" s="350" t="str">
        <f t="shared" si="153"/>
        <v/>
      </c>
      <c r="H172" s="350">
        <f t="shared" si="153"/>
        <v>4</v>
      </c>
      <c r="I172" s="350" t="str">
        <f t="shared" si="153"/>
        <v/>
      </c>
      <c r="J172" s="350">
        <f t="shared" si="153"/>
        <v>1</v>
      </c>
      <c r="K172" s="350" t="str">
        <f t="shared" si="153"/>
        <v/>
      </c>
      <c r="L172" s="350">
        <f t="shared" si="153"/>
        <v>5</v>
      </c>
      <c r="M172" s="350" t="str">
        <f t="shared" si="153"/>
        <v/>
      </c>
      <c r="N172" s="351"/>
      <c r="O172" s="351"/>
      <c r="S172" s="13" t="s">
        <v>1789</v>
      </c>
      <c r="T172" s="5" t="s">
        <v>1790</v>
      </c>
      <c r="U172" s="369">
        <f>VLOOKUP($S152,Schlüssel!$A$5:$DG$10,83)</f>
        <v>3</v>
      </c>
      <c r="V172" s="370"/>
      <c r="W172" s="369">
        <f>VLOOKUP($S152,Schlüssel!$A$5:$EK$10,84)</f>
        <v>2</v>
      </c>
      <c r="X172" s="370"/>
      <c r="Y172" s="369">
        <f>VLOOKUP($S152,Schlüssel!$A$5:$EK$10,85)</f>
        <v>4</v>
      </c>
      <c r="Z172" s="370"/>
      <c r="AA172" s="369">
        <f>VLOOKUP($S152,Schlüssel!$A$5:$EK$10,86)</f>
        <v>1</v>
      </c>
      <c r="AB172" s="370"/>
      <c r="AC172" s="369">
        <f>VLOOKUP($S152,Schlüssel!$A$5:$EK$10,87)</f>
        <v>5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ref="B173:K174" si="154">IF(S173=0,"",S173)</f>
        <v/>
      </c>
      <c r="C173" s="1" t="str">
        <f t="shared" si="154"/>
        <v/>
      </c>
      <c r="D173" s="347" t="str">
        <f t="shared" si="154"/>
        <v>Kings Club Bayreuth Land 2</v>
      </c>
      <c r="E173" s="348" t="str">
        <f t="shared" si="154"/>
        <v/>
      </c>
      <c r="F173" s="347" t="str">
        <f t="shared" si="154"/>
        <v>Herzogenaurach 1</v>
      </c>
      <c r="G173" s="348" t="str">
        <f t="shared" si="154"/>
        <v/>
      </c>
      <c r="H173" s="347" t="str">
        <f t="shared" si="154"/>
        <v>Kings Club Bayreuth Land 3</v>
      </c>
      <c r="I173" s="348" t="str">
        <f t="shared" si="154"/>
        <v/>
      </c>
      <c r="J173" s="347" t="str">
        <f t="shared" si="154"/>
        <v>Castra Regina Regensburg 3</v>
      </c>
      <c r="K173" s="348" t="str">
        <f t="shared" si="154"/>
        <v/>
      </c>
      <c r="L173" s="347" t="str">
        <f>IF(AC173=0,"",AC173)</f>
        <v>Castra Regina Regensburg 2</v>
      </c>
      <c r="M173" s="348" t="str">
        <f>IF(AD173=0,"",AD173)</f>
        <v/>
      </c>
      <c r="N173" s="349"/>
      <c r="O173" s="349"/>
      <c r="S173" s="4"/>
      <c r="T173" s="1"/>
      <c r="U173" s="347" t="str">
        <f>VLOOKUP(U172,Schlüssel!$A$5:$K$10,2)</f>
        <v>Kings Club Bayreuth Land 2</v>
      </c>
      <c r="V173" s="348"/>
      <c r="W173" s="347" t="str">
        <f>VLOOKUP(W172,Schlüssel!$A$5:$K$10,2)</f>
        <v>Herzogenaurach 1</v>
      </c>
      <c r="X173" s="348"/>
      <c r="Y173" s="347" t="str">
        <f>VLOOKUP(Y172,Schlüssel!$A$5:$K$10,2)</f>
        <v>Kings Club Bayreuth Land 3</v>
      </c>
      <c r="Z173" s="348"/>
      <c r="AA173" s="347" t="str">
        <f>VLOOKUP(AA172,Schlüssel!$A$5:$K$10,2)</f>
        <v>Castra Regina Regensburg 3</v>
      </c>
      <c r="AB173" s="348"/>
      <c r="AC173" s="347" t="str">
        <f>VLOOKUP(AC172,Schlüssel!$A$5:$K$10,2)</f>
        <v>Castra Regina Regensburg 2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54"/>
        <v/>
      </c>
      <c r="C174" s="1" t="str">
        <f t="shared" si="154"/>
        <v/>
      </c>
      <c r="D174" s="346" t="str">
        <f t="shared" si="154"/>
        <v/>
      </c>
      <c r="E174" s="346" t="str">
        <f t="shared" si="154"/>
        <v/>
      </c>
      <c r="F174" s="346" t="str">
        <f t="shared" si="154"/>
        <v/>
      </c>
      <c r="G174" s="346" t="str">
        <f t="shared" si="154"/>
        <v/>
      </c>
      <c r="H174" s="346" t="str">
        <f t="shared" si="154"/>
        <v/>
      </c>
      <c r="I174" s="346" t="str">
        <f t="shared" si="154"/>
        <v/>
      </c>
      <c r="J174" s="346" t="str">
        <f t="shared" si="154"/>
        <v/>
      </c>
      <c r="K174" s="346" t="str">
        <f t="shared" si="154"/>
        <v/>
      </c>
      <c r="L174" s="346" t="str">
        <f>IF(AC174=0,"",AC174)</f>
        <v/>
      </c>
      <c r="M174" s="346" t="str">
        <f>IF(AD174=0,"",AD174)</f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ref="B175:C179" si="155">IF(S175=0,"",S175)</f>
        <v>Spieler 1</v>
      </c>
      <c r="C175" s="372" t="str">
        <f t="shared" si="155"/>
        <v/>
      </c>
      <c r="D175" s="344">
        <f>IF(U175=301,"",U175)</f>
        <v>159</v>
      </c>
      <c r="E175" s="344" t="str">
        <f>IF(V175=0,"",V175)</f>
        <v/>
      </c>
      <c r="F175" s="344">
        <f>IF(W175=301,"",W175)</f>
        <v>225</v>
      </c>
      <c r="G175" s="344" t="str">
        <f>IF(X175=0,"",X175)</f>
        <v/>
      </c>
      <c r="H175" s="344">
        <f>IF(Y175=301,"",Y175)</f>
        <v>151</v>
      </c>
      <c r="I175" s="344" t="str">
        <f>IF(Z175=0,"",Z175)</f>
        <v/>
      </c>
      <c r="J175" s="344">
        <f>IF(AA175=301,"",AA175)</f>
        <v>157</v>
      </c>
      <c r="K175" s="344" t="str">
        <f>IF(AB175=0,"",AB175)</f>
        <v/>
      </c>
      <c r="L175" s="344">
        <f>IF(AC175=301,"",AC175)</f>
        <v>172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159</v>
      </c>
      <c r="V175" s="368"/>
      <c r="W175" s="367">
        <f>ABS(INDEX(W:W,MATCH(W172,$S:$S,0)+5)+INDEX(W:W,MATCH(W172,$S:$S,0)+6)+INDEX(W:W,MATCH(W172,$S:$S,0)+7))</f>
        <v>225</v>
      </c>
      <c r="X175" s="368"/>
      <c r="Y175" s="367">
        <f>ABS(INDEX(Y:Y,MATCH(Y172,$S:$S,0)+5)+INDEX(Y:Y,MATCH(Y172,$S:$S,0)+6)+INDEX(Y:Y,MATCH(Y172,$S:$S,0)+7))</f>
        <v>151</v>
      </c>
      <c r="Z175" s="368"/>
      <c r="AA175" s="367">
        <f>ABS(INDEX(AA:AA,MATCH(AA172,$S:$S,0)+5)+INDEX(AA:AA,MATCH(AA172,$S:$S,0)+6)+INDEX(AA:AA,MATCH(AA172,$S:$S,0)+7))</f>
        <v>157</v>
      </c>
      <c r="AB175" s="368"/>
      <c r="AC175" s="367">
        <f>ABS(INDEX(AC:AC,MATCH(AC172,$S:$S,0)+5)+INDEX(AC:AC,MATCH(AC172,$S:$S,0)+6)+INDEX(AC:AC,MATCH(AC172,$S:$S,0)+7))</f>
        <v>172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55"/>
        <v>Spieler 2</v>
      </c>
      <c r="C176" s="372" t="str">
        <f t="shared" si="155"/>
        <v/>
      </c>
      <c r="D176" s="344">
        <f>IF(U176=301,"",U176)</f>
        <v>179</v>
      </c>
      <c r="E176" s="344" t="str">
        <f>IF(V176=0,"",V176)</f>
        <v/>
      </c>
      <c r="F176" s="344">
        <f>IF(W176=301,"",W176)</f>
        <v>191</v>
      </c>
      <c r="G176" s="344" t="str">
        <f>IF(X176=0,"",X176)</f>
        <v/>
      </c>
      <c r="H176" s="344">
        <f>IF(Y176=301,"",Y176)</f>
        <v>212</v>
      </c>
      <c r="I176" s="344" t="str">
        <f>IF(Z176=0,"",Z176)</f>
        <v/>
      </c>
      <c r="J176" s="344">
        <f>IF(AA176=301,"",AA176)</f>
        <v>128</v>
      </c>
      <c r="K176" s="344" t="str">
        <f>IF(AB176=0,"",AB176)</f>
        <v/>
      </c>
      <c r="L176" s="344">
        <f>IF(AC176=301,"",AC176)</f>
        <v>190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179</v>
      </c>
      <c r="V176" s="366"/>
      <c r="W176" s="365">
        <f>ABS(INDEX(W:W,MATCH(W172,$S:$S,0)+8)+INDEX(W:W,MATCH(W172,$S:$S,0)+9)+INDEX(W:W,MATCH(W172,$S:$S,0)+10))</f>
        <v>191</v>
      </c>
      <c r="X176" s="366"/>
      <c r="Y176" s="365">
        <f>ABS(INDEX(Y:Y,MATCH(Y172,$S:$S,0)+8)+INDEX(Y:Y,MATCH(Y172,$S:$S,0)+9)+INDEX(Y:Y,MATCH(Y172,$S:$S,0)+10))</f>
        <v>212</v>
      </c>
      <c r="Z176" s="366"/>
      <c r="AA176" s="365">
        <f>ABS(INDEX(AA:AA,MATCH(AA172,$S:$S,0)+8)+INDEX(AA:AA,MATCH(AA172,$S:$S,0)+9)+INDEX(AA:AA,MATCH(AA172,$S:$S,0)+10))</f>
        <v>128</v>
      </c>
      <c r="AB176" s="366"/>
      <c r="AC176" s="365">
        <f>ABS(INDEX(AC:AC,MATCH(AC172,$S:$S,0)+8)+INDEX(AC:AC,MATCH(AC172,$S:$S,0)+9)+INDEX(AC:AC,MATCH(AC172,$S:$S,0)+10))</f>
        <v>190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55"/>
        <v>Spieler 3</v>
      </c>
      <c r="C177" s="372" t="str">
        <f t="shared" si="155"/>
        <v/>
      </c>
      <c r="D177" s="344">
        <f>IF(U177=301,"",U177)</f>
        <v>145</v>
      </c>
      <c r="E177" s="344" t="str">
        <f>IF(V177=0,"",V177)</f>
        <v/>
      </c>
      <c r="F177" s="344">
        <f>IF(W177=301,"",W177)</f>
        <v>173</v>
      </c>
      <c r="G177" s="344" t="str">
        <f>IF(X177=0,"",X177)</f>
        <v/>
      </c>
      <c r="H177" s="344">
        <f>IF(Y177=301,"",Y177)</f>
        <v>189</v>
      </c>
      <c r="I177" s="344" t="str">
        <f>IF(Z177=0,"",Z177)</f>
        <v/>
      </c>
      <c r="J177" s="344">
        <f>IF(AA177=301,"",AA177)</f>
        <v>168</v>
      </c>
      <c r="K177" s="344" t="str">
        <f>IF(AB177=0,"",AB177)</f>
        <v/>
      </c>
      <c r="L177" s="344">
        <f>IF(AC177=301,"",AC177)</f>
        <v>173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145</v>
      </c>
      <c r="V177" s="366"/>
      <c r="W177" s="365">
        <f>ABS(INDEX(W:W,MATCH(W172,$S:$S,0)+11)+INDEX(W:W,MATCH(W172,$S:$S,0)+12)+INDEX(W:W,MATCH(W172,$S:$S,0)+13))</f>
        <v>173</v>
      </c>
      <c r="X177" s="366"/>
      <c r="Y177" s="365">
        <f>ABS(INDEX(Y:Y,MATCH(Y172,$S:$S,0)+11)+INDEX(Y:Y,MATCH(Y172,$S:$S,0)+12)+INDEX(Y:Y,MATCH(Y172,$S:$S,0)+13))</f>
        <v>189</v>
      </c>
      <c r="Z177" s="366"/>
      <c r="AA177" s="365">
        <f>ABS(INDEX(AA:AA,MATCH(AA172,$S:$S,0)+11)+INDEX(AA:AA,MATCH(AA172,$S:$S,0)+12)+INDEX(AA:AA,MATCH(AA172,$S:$S,0)+13))</f>
        <v>168</v>
      </c>
      <c r="AB177" s="366"/>
      <c r="AC177" s="365">
        <f>ABS(INDEX(AC:AC,MATCH(AC172,$S:$S,0)+11)+INDEX(AC:AC,MATCH(AC172,$S:$S,0)+12)+INDEX(AC:AC,MATCH(AC172,$S:$S,0)+13))</f>
        <v>173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55"/>
        <v>Spieler 4</v>
      </c>
      <c r="C178" s="372" t="str">
        <f t="shared" si="155"/>
        <v/>
      </c>
      <c r="D178" s="344">
        <f>IF(U178=301,"",U178)</f>
        <v>198</v>
      </c>
      <c r="E178" s="344" t="str">
        <f>IF(V178=0,"",V178)</f>
        <v/>
      </c>
      <c r="F178" s="344">
        <f>IF(W178=301,"",W178)</f>
        <v>162</v>
      </c>
      <c r="G178" s="344" t="str">
        <f>IF(X178=0,"",X178)</f>
        <v/>
      </c>
      <c r="H178" s="344">
        <f>IF(Y178=301,"",Y178)</f>
        <v>142</v>
      </c>
      <c r="I178" s="344" t="str">
        <f>IF(Z178=0,"",Z178)</f>
        <v/>
      </c>
      <c r="J178" s="344">
        <f>IF(AA178=301,"",AA178)</f>
        <v>178</v>
      </c>
      <c r="K178" s="344" t="str">
        <f>IF(AB178=0,"",AB178)</f>
        <v/>
      </c>
      <c r="L178" s="344">
        <f>IF(AC178=301,"",AC178)</f>
        <v>192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198</v>
      </c>
      <c r="V178" s="366"/>
      <c r="W178" s="365">
        <f>ABS(INDEX(W:W,MATCH(W172,$S:$S,0)+14)+INDEX(W:W,MATCH(W172,$S:$S,0)+15)+INDEX(W:W,MATCH(W172,$S:$S,0)+16))</f>
        <v>162</v>
      </c>
      <c r="X178" s="366"/>
      <c r="Y178" s="365">
        <f>ABS(INDEX(Y:Y,MATCH(Y172,$S:$S,0)+14)+INDEX(Y:Y,MATCH(Y172,$S:$S,0)+15)+INDEX(Y:Y,MATCH(Y172,$S:$S,0)+16))</f>
        <v>142</v>
      </c>
      <c r="Z178" s="366"/>
      <c r="AA178" s="365">
        <f>ABS(INDEX(AA:AA,MATCH(AA172,$S:$S,0)+14)+INDEX(AA:AA,MATCH(AA172,$S:$S,0)+15)+INDEX(AA:AA,MATCH(AA172,$S:$S,0)+16))</f>
        <v>178</v>
      </c>
      <c r="AB178" s="366"/>
      <c r="AC178" s="365">
        <f>ABS(INDEX(AC:AC,MATCH(AC172,$S:$S,0)+14)+INDEX(AC:AC,MATCH(AC172,$S:$S,0)+15)+INDEX(AC:AC,MATCH(AC172,$S:$S,0)+16))</f>
        <v>192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55"/>
        <v>Gesamt</v>
      </c>
      <c r="C179" s="360" t="str">
        <f t="shared" si="155"/>
        <v/>
      </c>
      <c r="D179" s="343">
        <f>IF(U179=1505,"",U179)</f>
        <v>681</v>
      </c>
      <c r="E179" s="343" t="str">
        <f>IF(V179=0,"",V179)</f>
        <v/>
      </c>
      <c r="F179" s="343">
        <f>IF(W179=1505,"",W179)</f>
        <v>751</v>
      </c>
      <c r="G179" s="343" t="str">
        <f>IF(X179=0,"",X179)</f>
        <v/>
      </c>
      <c r="H179" s="343">
        <f>IF(Y179=1505,"",Y179)</f>
        <v>694</v>
      </c>
      <c r="I179" s="343" t="str">
        <f>IF(Z179=0,"",Z179)</f>
        <v/>
      </c>
      <c r="J179" s="343">
        <f>IF(AA179=1505,"",AA179)</f>
        <v>631</v>
      </c>
      <c r="K179" s="343" t="str">
        <f>IF(AB179=0,"",AB179)</f>
        <v/>
      </c>
      <c r="L179" s="343">
        <f>IF(AC179=1505,"",AC179)</f>
        <v>727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681</v>
      </c>
      <c r="V179" s="360"/>
      <c r="W179" s="359">
        <f>SUM(W175:W178)</f>
        <v>751</v>
      </c>
      <c r="X179" s="360"/>
      <c r="Y179" s="359">
        <f>SUM(Y175:Y178)</f>
        <v>694</v>
      </c>
      <c r="Z179" s="360"/>
      <c r="AA179" s="359">
        <f>SUM(AA175:AA178)</f>
        <v>631</v>
      </c>
      <c r="AB179" s="360"/>
      <c r="AC179" s="359">
        <f>SUM(AC175:AC178)</f>
        <v>727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/>
  <mergeCells count="810">
    <mergeCell ref="AD1:AF1"/>
    <mergeCell ref="N5:O5"/>
    <mergeCell ref="M1:O1"/>
    <mergeCell ref="U5:V5"/>
    <mergeCell ref="W5:X5"/>
    <mergeCell ref="Y5:Z5"/>
    <mergeCell ref="D5:E5"/>
    <mergeCell ref="F5:G5"/>
    <mergeCell ref="H5:I5"/>
    <mergeCell ref="J5:K5"/>
    <mergeCell ref="L5:M5"/>
    <mergeCell ref="P1:R1"/>
    <mergeCell ref="AA5:AB5"/>
    <mergeCell ref="AC5:AD5"/>
    <mergeCell ref="AE5:AF5"/>
    <mergeCell ref="O10:O12"/>
    <mergeCell ref="R10:R12"/>
    <mergeCell ref="O7:O9"/>
    <mergeCell ref="R7:R9"/>
    <mergeCell ref="A10:A12"/>
    <mergeCell ref="E10:E12"/>
    <mergeCell ref="G10:G12"/>
    <mergeCell ref="I10:I12"/>
    <mergeCell ref="K10:K12"/>
    <mergeCell ref="M10:M12"/>
    <mergeCell ref="A7:A9"/>
    <mergeCell ref="E7:E9"/>
    <mergeCell ref="G7:G9"/>
    <mergeCell ref="I7:I9"/>
    <mergeCell ref="K7:K9"/>
    <mergeCell ref="M7:M9"/>
    <mergeCell ref="O16:O18"/>
    <mergeCell ref="R16:R18"/>
    <mergeCell ref="A16:A18"/>
    <mergeCell ref="E16:E18"/>
    <mergeCell ref="G16:G18"/>
    <mergeCell ref="I16:I18"/>
    <mergeCell ref="K16:K18"/>
    <mergeCell ref="M16:M18"/>
    <mergeCell ref="O13:O15"/>
    <mergeCell ref="R13:R15"/>
    <mergeCell ref="A13:A15"/>
    <mergeCell ref="E13:E15"/>
    <mergeCell ref="G13:G15"/>
    <mergeCell ref="I13:I15"/>
    <mergeCell ref="K13:K15"/>
    <mergeCell ref="M13:M15"/>
    <mergeCell ref="N24:O24"/>
    <mergeCell ref="D24:E24"/>
    <mergeCell ref="F24:G24"/>
    <mergeCell ref="H24:I24"/>
    <mergeCell ref="J24:K24"/>
    <mergeCell ref="L24:M24"/>
    <mergeCell ref="N22:O22"/>
    <mergeCell ref="AC23:AD23"/>
    <mergeCell ref="N23:O23"/>
    <mergeCell ref="U23:V23"/>
    <mergeCell ref="W23:X23"/>
    <mergeCell ref="Y23:Z23"/>
    <mergeCell ref="AA23:AB23"/>
    <mergeCell ref="D22:E22"/>
    <mergeCell ref="F22:G22"/>
    <mergeCell ref="H22:I22"/>
    <mergeCell ref="J22:K22"/>
    <mergeCell ref="L22:M22"/>
    <mergeCell ref="D23:E23"/>
    <mergeCell ref="F23:G23"/>
    <mergeCell ref="H23:I23"/>
    <mergeCell ref="J23:K23"/>
    <mergeCell ref="L23:M23"/>
    <mergeCell ref="U22:V22"/>
    <mergeCell ref="N27:O27"/>
    <mergeCell ref="B27:C27"/>
    <mergeCell ref="D27:E27"/>
    <mergeCell ref="F27:G27"/>
    <mergeCell ref="H27:I27"/>
    <mergeCell ref="J27:K27"/>
    <mergeCell ref="L27:M27"/>
    <mergeCell ref="N26:O26"/>
    <mergeCell ref="N25:O25"/>
    <mergeCell ref="B26:C26"/>
    <mergeCell ref="D26:E26"/>
    <mergeCell ref="F26:G26"/>
    <mergeCell ref="H26:I26"/>
    <mergeCell ref="J26:K26"/>
    <mergeCell ref="L26:M26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M31:O31"/>
    <mergeCell ref="N28:O28"/>
    <mergeCell ref="B28:C28"/>
    <mergeCell ref="D28:E28"/>
    <mergeCell ref="F28:G28"/>
    <mergeCell ref="H28:I28"/>
    <mergeCell ref="J28:K28"/>
    <mergeCell ref="L28:M28"/>
    <mergeCell ref="N35:O35"/>
    <mergeCell ref="D35:E35"/>
    <mergeCell ref="F35:G35"/>
    <mergeCell ref="H35:I35"/>
    <mergeCell ref="J35:K35"/>
    <mergeCell ref="L35:M35"/>
    <mergeCell ref="P31:R31"/>
    <mergeCell ref="AD31:AF31"/>
    <mergeCell ref="N29:O29"/>
    <mergeCell ref="O40:O42"/>
    <mergeCell ref="R40:R42"/>
    <mergeCell ref="O37:O39"/>
    <mergeCell ref="R37:R39"/>
    <mergeCell ref="A40:A42"/>
    <mergeCell ref="E40:E42"/>
    <mergeCell ref="G40:G42"/>
    <mergeCell ref="I40:I42"/>
    <mergeCell ref="K40:K42"/>
    <mergeCell ref="M40:M42"/>
    <mergeCell ref="A37:A39"/>
    <mergeCell ref="E37:E39"/>
    <mergeCell ref="G37:G39"/>
    <mergeCell ref="I37:I39"/>
    <mergeCell ref="K37:K39"/>
    <mergeCell ref="M37:M39"/>
    <mergeCell ref="O46:O48"/>
    <mergeCell ref="R46:R48"/>
    <mergeCell ref="A46:A48"/>
    <mergeCell ref="E46:E48"/>
    <mergeCell ref="G46:G48"/>
    <mergeCell ref="I46:I48"/>
    <mergeCell ref="K46:K48"/>
    <mergeCell ref="M46:M48"/>
    <mergeCell ref="O43:O45"/>
    <mergeCell ref="R43:R45"/>
    <mergeCell ref="A43:A45"/>
    <mergeCell ref="E43:E45"/>
    <mergeCell ref="G43:G45"/>
    <mergeCell ref="I43:I45"/>
    <mergeCell ref="K43:K45"/>
    <mergeCell ref="M43:M45"/>
    <mergeCell ref="N54:O54"/>
    <mergeCell ref="D54:E54"/>
    <mergeCell ref="F54:G54"/>
    <mergeCell ref="H54:I54"/>
    <mergeCell ref="J54:K54"/>
    <mergeCell ref="L54:M54"/>
    <mergeCell ref="N52:O52"/>
    <mergeCell ref="AC53:AD53"/>
    <mergeCell ref="N53:O53"/>
    <mergeCell ref="U53:V53"/>
    <mergeCell ref="W53:X53"/>
    <mergeCell ref="Y53:Z53"/>
    <mergeCell ref="AA53:AB53"/>
    <mergeCell ref="D52:E52"/>
    <mergeCell ref="F52:G52"/>
    <mergeCell ref="H52:I52"/>
    <mergeCell ref="J52:K52"/>
    <mergeCell ref="L52:M52"/>
    <mergeCell ref="D53:E53"/>
    <mergeCell ref="F53:G53"/>
    <mergeCell ref="H53:I53"/>
    <mergeCell ref="J53:K53"/>
    <mergeCell ref="L53:M53"/>
    <mergeCell ref="N57:O57"/>
    <mergeCell ref="B57:C57"/>
    <mergeCell ref="D57:E57"/>
    <mergeCell ref="F57:G57"/>
    <mergeCell ref="H57:I57"/>
    <mergeCell ref="J57:K57"/>
    <mergeCell ref="L57:M57"/>
    <mergeCell ref="N56:O56"/>
    <mergeCell ref="N55:O55"/>
    <mergeCell ref="B56:C56"/>
    <mergeCell ref="D56:E56"/>
    <mergeCell ref="F56:G56"/>
    <mergeCell ref="H56:I56"/>
    <mergeCell ref="J56:K56"/>
    <mergeCell ref="L56:M56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M61:O61"/>
    <mergeCell ref="N58:O58"/>
    <mergeCell ref="B58:C58"/>
    <mergeCell ref="D58:E58"/>
    <mergeCell ref="F58:G58"/>
    <mergeCell ref="H58:I58"/>
    <mergeCell ref="J58:K58"/>
    <mergeCell ref="L58:M58"/>
    <mergeCell ref="N65:O65"/>
    <mergeCell ref="D65:E65"/>
    <mergeCell ref="F65:G65"/>
    <mergeCell ref="H65:I65"/>
    <mergeCell ref="J65:K65"/>
    <mergeCell ref="L65:M65"/>
    <mergeCell ref="P61:R61"/>
    <mergeCell ref="AD61:AF61"/>
    <mergeCell ref="N59:O59"/>
    <mergeCell ref="AE65:AF65"/>
    <mergeCell ref="O70:O72"/>
    <mergeCell ref="R70:R72"/>
    <mergeCell ref="O67:O69"/>
    <mergeCell ref="R67:R69"/>
    <mergeCell ref="A70:A72"/>
    <mergeCell ref="E70:E72"/>
    <mergeCell ref="G70:G72"/>
    <mergeCell ref="I70:I72"/>
    <mergeCell ref="K70:K72"/>
    <mergeCell ref="M70:M72"/>
    <mergeCell ref="A67:A69"/>
    <mergeCell ref="E67:E69"/>
    <mergeCell ref="G67:G69"/>
    <mergeCell ref="I67:I69"/>
    <mergeCell ref="K67:K69"/>
    <mergeCell ref="M67:M69"/>
    <mergeCell ref="O76:O78"/>
    <mergeCell ref="R76:R78"/>
    <mergeCell ref="A76:A78"/>
    <mergeCell ref="E76:E78"/>
    <mergeCell ref="G76:G78"/>
    <mergeCell ref="I76:I78"/>
    <mergeCell ref="K76:K78"/>
    <mergeCell ref="M76:M78"/>
    <mergeCell ref="O73:O75"/>
    <mergeCell ref="R73:R75"/>
    <mergeCell ref="A73:A75"/>
    <mergeCell ref="E73:E75"/>
    <mergeCell ref="G73:G75"/>
    <mergeCell ref="I73:I75"/>
    <mergeCell ref="K73:K75"/>
    <mergeCell ref="M73:M75"/>
    <mergeCell ref="N84:O84"/>
    <mergeCell ref="D84:E84"/>
    <mergeCell ref="F84:G84"/>
    <mergeCell ref="H84:I84"/>
    <mergeCell ref="J84:K84"/>
    <mergeCell ref="L84:M84"/>
    <mergeCell ref="N82:O82"/>
    <mergeCell ref="AC83:AD83"/>
    <mergeCell ref="N83:O83"/>
    <mergeCell ref="U83:V83"/>
    <mergeCell ref="W83:X83"/>
    <mergeCell ref="Y83:Z83"/>
    <mergeCell ref="AA83:AB83"/>
    <mergeCell ref="D82:E82"/>
    <mergeCell ref="F82:G82"/>
    <mergeCell ref="H82:I82"/>
    <mergeCell ref="J82:K82"/>
    <mergeCell ref="L82:M82"/>
    <mergeCell ref="D83:E83"/>
    <mergeCell ref="F83:G83"/>
    <mergeCell ref="H83:I83"/>
    <mergeCell ref="J83:K83"/>
    <mergeCell ref="L83:M83"/>
    <mergeCell ref="U82:V82"/>
    <mergeCell ref="N87:O87"/>
    <mergeCell ref="B87:C87"/>
    <mergeCell ref="D87:E87"/>
    <mergeCell ref="F87:G87"/>
    <mergeCell ref="H87:I87"/>
    <mergeCell ref="J87:K87"/>
    <mergeCell ref="L87:M87"/>
    <mergeCell ref="N86:O86"/>
    <mergeCell ref="N85:O85"/>
    <mergeCell ref="B86:C86"/>
    <mergeCell ref="D86:E86"/>
    <mergeCell ref="F86:G86"/>
    <mergeCell ref="H86:I86"/>
    <mergeCell ref="J86:K86"/>
    <mergeCell ref="L86:M86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M91:O91"/>
    <mergeCell ref="N88:O88"/>
    <mergeCell ref="B88:C88"/>
    <mergeCell ref="D88:E88"/>
    <mergeCell ref="F88:G88"/>
    <mergeCell ref="H88:I88"/>
    <mergeCell ref="J88:K88"/>
    <mergeCell ref="L88:M88"/>
    <mergeCell ref="N95:O95"/>
    <mergeCell ref="D95:E95"/>
    <mergeCell ref="F95:G95"/>
    <mergeCell ref="H95:I95"/>
    <mergeCell ref="J95:K95"/>
    <mergeCell ref="L95:M95"/>
    <mergeCell ref="P91:R91"/>
    <mergeCell ref="AD91:AF91"/>
    <mergeCell ref="N89:O89"/>
    <mergeCell ref="AE95:AF95"/>
    <mergeCell ref="O100:O102"/>
    <mergeCell ref="R100:R102"/>
    <mergeCell ref="O97:O99"/>
    <mergeCell ref="R97:R99"/>
    <mergeCell ref="A100:A102"/>
    <mergeCell ref="E100:E102"/>
    <mergeCell ref="G100:G102"/>
    <mergeCell ref="I100:I102"/>
    <mergeCell ref="K100:K102"/>
    <mergeCell ref="M100:M102"/>
    <mergeCell ref="A97:A99"/>
    <mergeCell ref="E97:E99"/>
    <mergeCell ref="G97:G99"/>
    <mergeCell ref="I97:I99"/>
    <mergeCell ref="K97:K99"/>
    <mergeCell ref="M97:M99"/>
    <mergeCell ref="O106:O108"/>
    <mergeCell ref="R106:R108"/>
    <mergeCell ref="A106:A108"/>
    <mergeCell ref="E106:E108"/>
    <mergeCell ref="G106:G108"/>
    <mergeCell ref="I106:I108"/>
    <mergeCell ref="K106:K108"/>
    <mergeCell ref="M106:M108"/>
    <mergeCell ref="O103:O105"/>
    <mergeCell ref="R103:R105"/>
    <mergeCell ref="A103:A105"/>
    <mergeCell ref="E103:E105"/>
    <mergeCell ref="G103:G105"/>
    <mergeCell ref="I103:I105"/>
    <mergeCell ref="K103:K105"/>
    <mergeCell ref="M103:M105"/>
    <mergeCell ref="N114:O114"/>
    <mergeCell ref="D114:E114"/>
    <mergeCell ref="F114:G114"/>
    <mergeCell ref="H114:I114"/>
    <mergeCell ref="J114:K114"/>
    <mergeCell ref="L114:M114"/>
    <mergeCell ref="N112:O112"/>
    <mergeCell ref="AC113:AD113"/>
    <mergeCell ref="N113:O113"/>
    <mergeCell ref="U113:V113"/>
    <mergeCell ref="W113:X113"/>
    <mergeCell ref="Y113:Z113"/>
    <mergeCell ref="AA113:AB113"/>
    <mergeCell ref="D112:E112"/>
    <mergeCell ref="F112:G112"/>
    <mergeCell ref="H112:I112"/>
    <mergeCell ref="J112:K112"/>
    <mergeCell ref="L112:M112"/>
    <mergeCell ref="D113:E113"/>
    <mergeCell ref="F113:G113"/>
    <mergeCell ref="H113:I113"/>
    <mergeCell ref="J113:K113"/>
    <mergeCell ref="L113:M113"/>
    <mergeCell ref="U112:V112"/>
    <mergeCell ref="N117:O117"/>
    <mergeCell ref="B117:C117"/>
    <mergeCell ref="D117:E117"/>
    <mergeCell ref="F117:G117"/>
    <mergeCell ref="H117:I117"/>
    <mergeCell ref="J117:K117"/>
    <mergeCell ref="L117:M117"/>
    <mergeCell ref="N116:O116"/>
    <mergeCell ref="N115:O115"/>
    <mergeCell ref="B116:C116"/>
    <mergeCell ref="D116:E116"/>
    <mergeCell ref="F116:G116"/>
    <mergeCell ref="H116:I116"/>
    <mergeCell ref="J116:K116"/>
    <mergeCell ref="L116:M116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M121:O121"/>
    <mergeCell ref="N118:O118"/>
    <mergeCell ref="B118:C118"/>
    <mergeCell ref="D118:E118"/>
    <mergeCell ref="F118:G118"/>
    <mergeCell ref="H118:I118"/>
    <mergeCell ref="J118:K118"/>
    <mergeCell ref="L118:M118"/>
    <mergeCell ref="N125:O125"/>
    <mergeCell ref="D125:E125"/>
    <mergeCell ref="F125:G125"/>
    <mergeCell ref="H125:I125"/>
    <mergeCell ref="J125:K125"/>
    <mergeCell ref="L125:M125"/>
    <mergeCell ref="P121:R121"/>
    <mergeCell ref="AD121:AF121"/>
    <mergeCell ref="N119:O119"/>
    <mergeCell ref="AE125:AF125"/>
    <mergeCell ref="O130:O132"/>
    <mergeCell ref="R130:R132"/>
    <mergeCell ref="O127:O129"/>
    <mergeCell ref="R127:R129"/>
    <mergeCell ref="A130:A132"/>
    <mergeCell ref="E130:E132"/>
    <mergeCell ref="G130:G132"/>
    <mergeCell ref="I130:I132"/>
    <mergeCell ref="K130:K132"/>
    <mergeCell ref="M130:M132"/>
    <mergeCell ref="A127:A129"/>
    <mergeCell ref="E127:E129"/>
    <mergeCell ref="G127:G129"/>
    <mergeCell ref="I127:I129"/>
    <mergeCell ref="K127:K129"/>
    <mergeCell ref="M127:M129"/>
    <mergeCell ref="A136:A138"/>
    <mergeCell ref="E136:E138"/>
    <mergeCell ref="G136:G138"/>
    <mergeCell ref="I136:I138"/>
    <mergeCell ref="K136:K138"/>
    <mergeCell ref="M136:M138"/>
    <mergeCell ref="O133:O135"/>
    <mergeCell ref="R133:R135"/>
    <mergeCell ref="A133:A135"/>
    <mergeCell ref="E133:E135"/>
    <mergeCell ref="G133:G135"/>
    <mergeCell ref="I133:I135"/>
    <mergeCell ref="K133:K135"/>
    <mergeCell ref="M133:M135"/>
    <mergeCell ref="D144:E144"/>
    <mergeCell ref="F144:G144"/>
    <mergeCell ref="H144:I144"/>
    <mergeCell ref="J144:K144"/>
    <mergeCell ref="L144:M144"/>
    <mergeCell ref="N142:O142"/>
    <mergeCell ref="AC143:AD143"/>
    <mergeCell ref="N143:O143"/>
    <mergeCell ref="U143:V143"/>
    <mergeCell ref="W143:X143"/>
    <mergeCell ref="Y143:Z143"/>
    <mergeCell ref="AA143:AB143"/>
    <mergeCell ref="D142:E142"/>
    <mergeCell ref="F142:G142"/>
    <mergeCell ref="H142:I142"/>
    <mergeCell ref="J142:K142"/>
    <mergeCell ref="L142:M142"/>
    <mergeCell ref="D143:E143"/>
    <mergeCell ref="F143:G143"/>
    <mergeCell ref="H143:I143"/>
    <mergeCell ref="J143:K143"/>
    <mergeCell ref="L143:M143"/>
    <mergeCell ref="U142:V142"/>
    <mergeCell ref="W142:X142"/>
    <mergeCell ref="B146:C146"/>
    <mergeCell ref="D146:E146"/>
    <mergeCell ref="F146:G146"/>
    <mergeCell ref="H146:I146"/>
    <mergeCell ref="J146:K146"/>
    <mergeCell ref="L146:M146"/>
    <mergeCell ref="B145:C145"/>
    <mergeCell ref="D145:E145"/>
    <mergeCell ref="F145:G145"/>
    <mergeCell ref="H145:I145"/>
    <mergeCell ref="J145:K145"/>
    <mergeCell ref="L145:M145"/>
    <mergeCell ref="B148:C148"/>
    <mergeCell ref="D148:E148"/>
    <mergeCell ref="F148:G148"/>
    <mergeCell ref="H148:I148"/>
    <mergeCell ref="J148:K148"/>
    <mergeCell ref="L148:M148"/>
    <mergeCell ref="N147:O147"/>
    <mergeCell ref="B147:C147"/>
    <mergeCell ref="D147:E147"/>
    <mergeCell ref="F147:G147"/>
    <mergeCell ref="H147:I147"/>
    <mergeCell ref="J147:K147"/>
    <mergeCell ref="L147:M147"/>
    <mergeCell ref="D155:E155"/>
    <mergeCell ref="F155:G155"/>
    <mergeCell ref="H155:I155"/>
    <mergeCell ref="J155:K155"/>
    <mergeCell ref="L155:M155"/>
    <mergeCell ref="P151:R151"/>
    <mergeCell ref="AD151:AF151"/>
    <mergeCell ref="N149:O149"/>
    <mergeCell ref="B149:C149"/>
    <mergeCell ref="D149:E149"/>
    <mergeCell ref="F149:G149"/>
    <mergeCell ref="H149:I149"/>
    <mergeCell ref="J149:K149"/>
    <mergeCell ref="L149:M149"/>
    <mergeCell ref="M151:O151"/>
    <mergeCell ref="AE155:AF155"/>
    <mergeCell ref="A160:A162"/>
    <mergeCell ref="E160:E162"/>
    <mergeCell ref="G160:G162"/>
    <mergeCell ref="I160:I162"/>
    <mergeCell ref="K160:K162"/>
    <mergeCell ref="M160:M162"/>
    <mergeCell ref="A157:A159"/>
    <mergeCell ref="E157:E159"/>
    <mergeCell ref="G157:G159"/>
    <mergeCell ref="I157:I159"/>
    <mergeCell ref="K157:K159"/>
    <mergeCell ref="M157:M159"/>
    <mergeCell ref="A166:A168"/>
    <mergeCell ref="E166:E168"/>
    <mergeCell ref="G166:G168"/>
    <mergeCell ref="I166:I168"/>
    <mergeCell ref="K166:K168"/>
    <mergeCell ref="M166:M168"/>
    <mergeCell ref="O163:O165"/>
    <mergeCell ref="R163:R165"/>
    <mergeCell ref="A163:A165"/>
    <mergeCell ref="E163:E165"/>
    <mergeCell ref="G163:G165"/>
    <mergeCell ref="I163:I165"/>
    <mergeCell ref="K163:K165"/>
    <mergeCell ref="M163:M165"/>
    <mergeCell ref="D174:E174"/>
    <mergeCell ref="F174:G174"/>
    <mergeCell ref="H174:I174"/>
    <mergeCell ref="J174:K174"/>
    <mergeCell ref="L174:M174"/>
    <mergeCell ref="N172:O172"/>
    <mergeCell ref="AC173:AD173"/>
    <mergeCell ref="N173:O173"/>
    <mergeCell ref="U173:V173"/>
    <mergeCell ref="W173:X173"/>
    <mergeCell ref="Y173:Z173"/>
    <mergeCell ref="AA173:AB173"/>
    <mergeCell ref="AC172:AD172"/>
    <mergeCell ref="D172:E172"/>
    <mergeCell ref="F172:G172"/>
    <mergeCell ref="H172:I172"/>
    <mergeCell ref="J172:K172"/>
    <mergeCell ref="L172:M172"/>
    <mergeCell ref="D173:E173"/>
    <mergeCell ref="F173:G173"/>
    <mergeCell ref="H173:I173"/>
    <mergeCell ref="J173:K173"/>
    <mergeCell ref="L173:M173"/>
    <mergeCell ref="U172:V172"/>
    <mergeCell ref="B177:C177"/>
    <mergeCell ref="D177:E177"/>
    <mergeCell ref="F177:G177"/>
    <mergeCell ref="H177:I177"/>
    <mergeCell ref="J177:K177"/>
    <mergeCell ref="L177:M177"/>
    <mergeCell ref="N176:O176"/>
    <mergeCell ref="N175:O175"/>
    <mergeCell ref="B176:C176"/>
    <mergeCell ref="D176:E176"/>
    <mergeCell ref="F176:G176"/>
    <mergeCell ref="H176:I176"/>
    <mergeCell ref="J176:K176"/>
    <mergeCell ref="L176:M176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N178:O178"/>
    <mergeCell ref="B178:C178"/>
    <mergeCell ref="D178:E178"/>
    <mergeCell ref="F178:G178"/>
    <mergeCell ref="H178:I178"/>
    <mergeCell ref="J178:K178"/>
    <mergeCell ref="L178:M178"/>
    <mergeCell ref="W22:X22"/>
    <mergeCell ref="Y22:Z22"/>
    <mergeCell ref="AA22:AB22"/>
    <mergeCell ref="AC22:AD22"/>
    <mergeCell ref="N179:O179"/>
    <mergeCell ref="N177:O177"/>
    <mergeCell ref="N174:O174"/>
    <mergeCell ref="O166:O168"/>
    <mergeCell ref="R166:R168"/>
    <mergeCell ref="O160:O162"/>
    <mergeCell ref="R160:R162"/>
    <mergeCell ref="O157:O159"/>
    <mergeCell ref="R157:R159"/>
    <mergeCell ref="N155:O155"/>
    <mergeCell ref="N148:O148"/>
    <mergeCell ref="N146:O146"/>
    <mergeCell ref="N145:O145"/>
    <mergeCell ref="N144:O144"/>
    <mergeCell ref="O136:O138"/>
    <mergeCell ref="R136:R138"/>
    <mergeCell ref="U25:V25"/>
    <mergeCell ref="W25:X25"/>
    <mergeCell ref="Y25:Z25"/>
    <mergeCell ref="AA25:AB25"/>
    <mergeCell ref="AC25:AD25"/>
    <mergeCell ref="U26:V26"/>
    <mergeCell ref="W26:X26"/>
    <mergeCell ref="Y26:Z26"/>
    <mergeCell ref="AA26:AB26"/>
    <mergeCell ref="AC26:AD26"/>
    <mergeCell ref="U27:V27"/>
    <mergeCell ref="W27:X27"/>
    <mergeCell ref="Y27:Z27"/>
    <mergeCell ref="AA27:AB27"/>
    <mergeCell ref="AC27:AD27"/>
    <mergeCell ref="U28:V28"/>
    <mergeCell ref="W28:X28"/>
    <mergeCell ref="Y28:Z28"/>
    <mergeCell ref="AA28:AB28"/>
    <mergeCell ref="AC28:AD28"/>
    <mergeCell ref="AE35:AF35"/>
    <mergeCell ref="U52:V52"/>
    <mergeCell ref="W52:X52"/>
    <mergeCell ref="Y52:Z52"/>
    <mergeCell ref="AA52:AB52"/>
    <mergeCell ref="AC52:AD52"/>
    <mergeCell ref="U29:V29"/>
    <mergeCell ref="W29:X29"/>
    <mergeCell ref="Y29:Z29"/>
    <mergeCell ref="AA29:AB29"/>
    <mergeCell ref="AC29:AD29"/>
    <mergeCell ref="U35:V35"/>
    <mergeCell ref="W35:X35"/>
    <mergeCell ref="Y35:Z35"/>
    <mergeCell ref="AA35:AB35"/>
    <mergeCell ref="AC35:AD35"/>
    <mergeCell ref="U55:V55"/>
    <mergeCell ref="W55:X55"/>
    <mergeCell ref="Y55:Z55"/>
    <mergeCell ref="AA55:AB55"/>
    <mergeCell ref="AC55:AD55"/>
    <mergeCell ref="U56:V56"/>
    <mergeCell ref="W56:X56"/>
    <mergeCell ref="Y56:Z56"/>
    <mergeCell ref="AA56:AB56"/>
    <mergeCell ref="AC56:AD56"/>
    <mergeCell ref="U57:V57"/>
    <mergeCell ref="W57:X57"/>
    <mergeCell ref="Y57:Z57"/>
    <mergeCell ref="AA57:AB57"/>
    <mergeCell ref="AC57:AD57"/>
    <mergeCell ref="U58:V58"/>
    <mergeCell ref="W58:X58"/>
    <mergeCell ref="Y58:Z58"/>
    <mergeCell ref="AA58:AB58"/>
    <mergeCell ref="AC58:AD58"/>
    <mergeCell ref="W82:X82"/>
    <mergeCell ref="Y82:Z82"/>
    <mergeCell ref="AA82:AB82"/>
    <mergeCell ref="AC82:AD82"/>
    <mergeCell ref="U59:V59"/>
    <mergeCell ref="W59:X59"/>
    <mergeCell ref="Y59:Z59"/>
    <mergeCell ref="AA59:AB59"/>
    <mergeCell ref="AC59:AD59"/>
    <mergeCell ref="U65:V65"/>
    <mergeCell ref="W65:X65"/>
    <mergeCell ref="Y65:Z65"/>
    <mergeCell ref="AA65:AB65"/>
    <mergeCell ref="AC65:AD65"/>
    <mergeCell ref="U85:V85"/>
    <mergeCell ref="W85:X85"/>
    <mergeCell ref="Y85:Z85"/>
    <mergeCell ref="AA85:AB85"/>
    <mergeCell ref="AC85:AD85"/>
    <mergeCell ref="U86:V86"/>
    <mergeCell ref="W86:X86"/>
    <mergeCell ref="Y86:Z86"/>
    <mergeCell ref="AA86:AB86"/>
    <mergeCell ref="AC86:AD86"/>
    <mergeCell ref="U87:V87"/>
    <mergeCell ref="W87:X87"/>
    <mergeCell ref="Y87:Z87"/>
    <mergeCell ref="AA87:AB87"/>
    <mergeCell ref="AC87:AD87"/>
    <mergeCell ref="U88:V88"/>
    <mergeCell ref="W88:X88"/>
    <mergeCell ref="Y88:Z88"/>
    <mergeCell ref="AA88:AB88"/>
    <mergeCell ref="AC88:AD88"/>
    <mergeCell ref="W112:X112"/>
    <mergeCell ref="Y112:Z112"/>
    <mergeCell ref="AA112:AB112"/>
    <mergeCell ref="AC112:AD112"/>
    <mergeCell ref="U89:V89"/>
    <mergeCell ref="W89:X89"/>
    <mergeCell ref="Y89:Z89"/>
    <mergeCell ref="AA89:AB89"/>
    <mergeCell ref="AC89:AD89"/>
    <mergeCell ref="U95:V95"/>
    <mergeCell ref="W95:X95"/>
    <mergeCell ref="Y95:Z95"/>
    <mergeCell ref="AA95:AB95"/>
    <mergeCell ref="AC95:AD95"/>
    <mergeCell ref="U115:V115"/>
    <mergeCell ref="W115:X115"/>
    <mergeCell ref="Y115:Z115"/>
    <mergeCell ref="AA115:AB115"/>
    <mergeCell ref="AC115:AD115"/>
    <mergeCell ref="U116:V116"/>
    <mergeCell ref="W116:X116"/>
    <mergeCell ref="Y116:Z116"/>
    <mergeCell ref="AA116:AB116"/>
    <mergeCell ref="AC116:AD116"/>
    <mergeCell ref="U117:V117"/>
    <mergeCell ref="W117:X117"/>
    <mergeCell ref="Y117:Z117"/>
    <mergeCell ref="AA117:AB117"/>
    <mergeCell ref="AC117:AD117"/>
    <mergeCell ref="U118:V118"/>
    <mergeCell ref="W118:X118"/>
    <mergeCell ref="Y118:Z118"/>
    <mergeCell ref="AA118:AB118"/>
    <mergeCell ref="AC118:AD118"/>
    <mergeCell ref="Y142:Z142"/>
    <mergeCell ref="AA142:AB142"/>
    <mergeCell ref="AC142:AD142"/>
    <mergeCell ref="U119:V119"/>
    <mergeCell ref="W119:X119"/>
    <mergeCell ref="Y119:Z119"/>
    <mergeCell ref="AA119:AB119"/>
    <mergeCell ref="AC119:AD119"/>
    <mergeCell ref="U125:V125"/>
    <mergeCell ref="W125:X125"/>
    <mergeCell ref="Y125:Z125"/>
    <mergeCell ref="AA125:AB125"/>
    <mergeCell ref="AC125:AD125"/>
    <mergeCell ref="U145:V145"/>
    <mergeCell ref="W145:X145"/>
    <mergeCell ref="Y145:Z145"/>
    <mergeCell ref="AA145:AB145"/>
    <mergeCell ref="AC145:AD145"/>
    <mergeCell ref="U146:V146"/>
    <mergeCell ref="W146:X146"/>
    <mergeCell ref="Y146:Z146"/>
    <mergeCell ref="AA146:AB146"/>
    <mergeCell ref="AC146:AD146"/>
    <mergeCell ref="U147:V147"/>
    <mergeCell ref="W147:X147"/>
    <mergeCell ref="Y147:Z147"/>
    <mergeCell ref="AA147:AB147"/>
    <mergeCell ref="AC147:AD147"/>
    <mergeCell ref="U148:V148"/>
    <mergeCell ref="W148:X148"/>
    <mergeCell ref="Y148:Z148"/>
    <mergeCell ref="AA148:AB148"/>
    <mergeCell ref="AC148:AD148"/>
    <mergeCell ref="W172:X172"/>
    <mergeCell ref="Y172:Z172"/>
    <mergeCell ref="AA172:AB172"/>
    <mergeCell ref="U149:V149"/>
    <mergeCell ref="W149:X149"/>
    <mergeCell ref="Y149:Z149"/>
    <mergeCell ref="AA149:AB149"/>
    <mergeCell ref="AC149:AD149"/>
    <mergeCell ref="U155:V155"/>
    <mergeCell ref="W155:X155"/>
    <mergeCell ref="Y155:Z155"/>
    <mergeCell ref="AA155:AB155"/>
    <mergeCell ref="AC155:AD155"/>
    <mergeCell ref="U175:V175"/>
    <mergeCell ref="W175:X175"/>
    <mergeCell ref="Y175:Z175"/>
    <mergeCell ref="AA175:AB175"/>
    <mergeCell ref="AC175:AD175"/>
    <mergeCell ref="U176:V176"/>
    <mergeCell ref="W176:X176"/>
    <mergeCell ref="Y176:Z176"/>
    <mergeCell ref="AA176:AB176"/>
    <mergeCell ref="AC176:AD176"/>
    <mergeCell ref="U179:V179"/>
    <mergeCell ref="W179:X179"/>
    <mergeCell ref="Y179:Z179"/>
    <mergeCell ref="AA179:AB179"/>
    <mergeCell ref="AC179:AD179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</mergeCells>
  <dataValidations count="1">
    <dataValidation type="whole" allowBlank="1" showErrorMessage="1" error="Es sind nur Zahlen zwischen -300 und 300 erlaubt!" sqref="U157:AD168 U127:AD138 U37:AD48 U67:AD78 U97:AD108 U7:AD18" xr:uid="{2EF877C1-6ED1-4A1F-B28C-BE549283E152}">
      <formula1>-300</formula1>
      <formula2>300</formula2>
    </dataValidation>
  </dataValidations>
  <pageMargins left="0.70866141732283472" right="0.70866141732283472" top="0.78740157480314965" bottom="0.35433070866141736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E2D83-AD0F-4D7C-8D33-96C2E81802CD}">
  <sheetPr>
    <tabColor rgb="FFFFFF00"/>
  </sheetPr>
  <dimension ref="A1:AE22"/>
  <sheetViews>
    <sheetView workbookViewId="0">
      <selection activeCell="O12" sqref="O12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16" width="4.42578125" customWidth="1"/>
    <col min="17" max="17" width="11.42578125" customWidth="1"/>
    <col min="18" max="18" width="14.28515625" customWidth="1"/>
    <col min="19" max="26" width="11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 t="s">
        <v>1785</v>
      </c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 t="str">
        <f>+Erfassung5!AD1</f>
        <v>13.04.</v>
      </c>
      <c r="O1" s="378"/>
      <c r="P1" s="51"/>
      <c r="Q1" s="51"/>
      <c r="AA1" s="215" t="s">
        <v>2091</v>
      </c>
    </row>
    <row r="2" spans="1:31" ht="28.5" customHeight="1" x14ac:dyDescent="0.2">
      <c r="A2" s="379" t="str">
        <f>"Saison "&amp;Spielorte!C18&amp;"     -     Spieltag "&amp;Erfassung5!AD2&amp;"     -     "&amp;TEXT(Erfassung5!AD1,"T. MMMM JJJJ")</f>
        <v>Saison 2024/2025     -     Spieltag 5     -     13.04.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</row>
    <row r="3" spans="1:31" ht="28.5" customHeight="1" x14ac:dyDescent="0.2">
      <c r="A3" s="379" t="str">
        <f>+Erfassung5!V2</f>
        <v>Nürnberg West Bowling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</row>
    <row r="4" spans="1:31" ht="28.5" customHeight="1" thickBot="1" x14ac:dyDescent="0.35">
      <c r="A4" s="64"/>
      <c r="B4" s="64"/>
      <c r="C4" s="205" t="s">
        <v>1786</v>
      </c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INDEX(Erfassung5!$S:$S,MATCH($A7,Erfassung5!$BN:$BN,0)-17)</f>
        <v>Castra Regina Regensburg 2</v>
      </c>
      <c r="C7" s="99">
        <f>INDEX(Erfassung5!U:U,MATCH($A7,Erfassung5!$BN:$BN,0)-1)</f>
        <v>799</v>
      </c>
      <c r="D7" s="100">
        <f>INDEX(Erfassung5!V:V,MATCH($A7,Erfassung5!$BN:$BN,0))</f>
        <v>5</v>
      </c>
      <c r="E7" s="99">
        <f>INDEX(Erfassung5!W:W,MATCH($A7,Erfassung5!$BN:$BN,0)-1)</f>
        <v>744</v>
      </c>
      <c r="F7" s="100">
        <f>INDEX(Erfassung5!X:X,MATCH($A7,Erfassung5!$BN:$BN,0))</f>
        <v>5.5</v>
      </c>
      <c r="G7" s="99">
        <f>INDEX(Erfassung5!Y:Y,MATCH($A7,Erfassung5!$BN:$BN,0)-1)</f>
        <v>778</v>
      </c>
      <c r="H7" s="100">
        <f>INDEX(Erfassung5!Z:Z,MATCH($A7,Erfassung5!$BN:$BN,0))</f>
        <v>5</v>
      </c>
      <c r="I7" s="99">
        <f>INDEX(Erfassung5!AA:AA,MATCH($A7,Erfassung5!$BN:$BN,0)-1)</f>
        <v>713</v>
      </c>
      <c r="J7" s="100">
        <f>INDEX(Erfassung5!AB:AB,MATCH($A7,Erfassung5!$BN:$BN,0))</f>
        <v>5</v>
      </c>
      <c r="K7" s="99">
        <f>INDEX(Erfassung5!AC:AC,MATCH($A7,Erfassung5!$BN:$BN,0)-1)</f>
        <v>727</v>
      </c>
      <c r="L7" s="100">
        <f>INDEX(Erfassung5!AD:AD,MATCH($A7,Erfassung5!$BN:$BN,0))</f>
        <v>4</v>
      </c>
      <c r="M7" s="101">
        <f t="shared" ref="M7:N12" si="0">SUM(C7+E7+G7+I7+K7)</f>
        <v>3761</v>
      </c>
      <c r="N7" s="102">
        <f t="shared" si="0"/>
        <v>24.5</v>
      </c>
      <c r="O7" s="76">
        <f>IFERROR(M7/INDEX(Erfassung5!BF:BF,MATCH(A7,Erfassung5!BN:BN,0)),0)</f>
        <v>188.05</v>
      </c>
      <c r="P7" s="122"/>
      <c r="Q7" s="51"/>
      <c r="AA7" s="213">
        <f>INDEX(TabGes4!K:K,MATCH(B7,TabGes4!B:B,0))+M7</f>
        <v>18383</v>
      </c>
      <c r="AB7" s="213">
        <f>INDEX(TabGes4!L:L,MATCH(B7,TabGes4!B:B,0))+N7</f>
        <v>95.5</v>
      </c>
      <c r="AC7" s="215">
        <f t="shared" ref="AC7:AC12" si="1">+AB7+AA7/1000000000</f>
        <v>95.500018382999997</v>
      </c>
      <c r="AD7" s="215">
        <f t="shared" ref="AD7:AD12" si="2">RANK(AC7,AC:AC)</f>
        <v>1</v>
      </c>
      <c r="AE7" s="215">
        <f>INDEX(Tabelle4!AE:AE,MATCH(B7,Tabelle4!B:B,0))+SUMIF(Erfassung5!BQ:BQ,B7,Erfassung5!BF:BF)</f>
        <v>100</v>
      </c>
    </row>
    <row r="8" spans="1:31" ht="42" customHeight="1" thickBot="1" x14ac:dyDescent="0.25">
      <c r="A8" s="209">
        <v>2</v>
      </c>
      <c r="B8" s="121" t="str">
        <f>INDEX(Erfassung5!$S:$S,MATCH($A8,Erfassung5!$BN:$BN,0)-17)</f>
        <v>Herzogenaurach 1</v>
      </c>
      <c r="C8" s="99">
        <f>INDEX(Erfassung5!U:U,MATCH($A8,Erfassung5!$BN:$BN,0)-1)</f>
        <v>820</v>
      </c>
      <c r="D8" s="100">
        <f>INDEX(Erfassung5!V:V,MATCH($A8,Erfassung5!$BN:$BN,0))</f>
        <v>5</v>
      </c>
      <c r="E8" s="99">
        <f>INDEX(Erfassung5!W:W,MATCH($A8,Erfassung5!$BN:$BN,0)-1)</f>
        <v>751</v>
      </c>
      <c r="F8" s="100">
        <f>INDEX(Erfassung5!X:X,MATCH($A8,Erfassung5!$BN:$BN,0))</f>
        <v>5</v>
      </c>
      <c r="G8" s="99">
        <f>INDEX(Erfassung5!Y:Y,MATCH($A8,Erfassung5!$BN:$BN,0)-1)</f>
        <v>756</v>
      </c>
      <c r="H8" s="100">
        <f>INDEX(Erfassung5!Z:Z,MATCH($A8,Erfassung5!$BN:$BN,0))</f>
        <v>1</v>
      </c>
      <c r="I8" s="99">
        <f>INDEX(Erfassung5!AA:AA,MATCH($A8,Erfassung5!$BN:$BN,0)-1)</f>
        <v>754</v>
      </c>
      <c r="J8" s="100">
        <f>INDEX(Erfassung5!AB:AB,MATCH($A8,Erfassung5!$BN:$BN,0))</f>
        <v>5</v>
      </c>
      <c r="K8" s="99">
        <f>INDEX(Erfassung5!AC:AC,MATCH($A8,Erfassung5!$BN:$BN,0)-1)</f>
        <v>686</v>
      </c>
      <c r="L8" s="100">
        <f>INDEX(Erfassung5!AD:AD,MATCH($A8,Erfassung5!$BN:$BN,0))</f>
        <v>4.5</v>
      </c>
      <c r="M8" s="101">
        <f t="shared" si="0"/>
        <v>3767</v>
      </c>
      <c r="N8" s="102">
        <f t="shared" si="0"/>
        <v>20.5</v>
      </c>
      <c r="O8" s="76">
        <f>IFERROR(M8/INDEX(Erfassung5!BF:BF,MATCH(A8,Erfassung5!BN:BN,0)),0)</f>
        <v>188.35</v>
      </c>
      <c r="P8" s="122"/>
      <c r="Q8" s="51"/>
      <c r="AA8" s="213">
        <f>INDEX(TabGes4!K:K,MATCH(B8,TabGes4!B:B,0))+M8</f>
        <v>18048</v>
      </c>
      <c r="AB8" s="213">
        <f>INDEX(TabGes4!L:L,MATCH(B8,TabGes4!B:B,0))+N8</f>
        <v>77.5</v>
      </c>
      <c r="AC8" s="215">
        <f t="shared" si="1"/>
        <v>77.500018048000001</v>
      </c>
      <c r="AD8" s="215">
        <f t="shared" si="2"/>
        <v>2</v>
      </c>
      <c r="AE8" s="215">
        <f>INDEX(Tabelle4!AE:AE,MATCH(B8,Tabelle4!B:B,0))+SUMIF(Erfassung5!BQ:BQ,B8,Erfassung5!BF:BF)</f>
        <v>100</v>
      </c>
    </row>
    <row r="9" spans="1:31" ht="42" customHeight="1" thickBot="1" x14ac:dyDescent="0.25">
      <c r="A9" s="209">
        <v>3</v>
      </c>
      <c r="B9" s="121" t="str">
        <f>INDEX(Erfassung5!$S:$S,MATCH($A9,Erfassung5!$BN:$BN,0)-17)</f>
        <v>Kings Club Bayreuth Land 2</v>
      </c>
      <c r="C9" s="99">
        <f>INDEX(Erfassung5!U:U,MATCH($A9,Erfassung5!$BN:$BN,0)-1)</f>
        <v>681</v>
      </c>
      <c r="D9" s="100">
        <f>INDEX(Erfassung5!V:V,MATCH($A9,Erfassung5!$BN:$BN,0))</f>
        <v>3</v>
      </c>
      <c r="E9" s="99">
        <f>INDEX(Erfassung5!W:W,MATCH($A9,Erfassung5!$BN:$BN,0)-1)</f>
        <v>659</v>
      </c>
      <c r="F9" s="100">
        <f>INDEX(Erfassung5!X:X,MATCH($A9,Erfassung5!$BN:$BN,0))</f>
        <v>0.5</v>
      </c>
      <c r="G9" s="99">
        <f>INDEX(Erfassung5!Y:Y,MATCH($A9,Erfassung5!$BN:$BN,0)-1)</f>
        <v>717</v>
      </c>
      <c r="H9" s="100">
        <f>INDEX(Erfassung5!Z:Z,MATCH($A9,Erfassung5!$BN:$BN,0))</f>
        <v>5</v>
      </c>
      <c r="I9" s="99">
        <f>INDEX(Erfassung5!AA:AA,MATCH($A9,Erfassung5!$BN:$BN,0)-1)</f>
        <v>582</v>
      </c>
      <c r="J9" s="100">
        <f>INDEX(Erfassung5!AB:AB,MATCH($A9,Erfassung5!$BN:$BN,0))</f>
        <v>1</v>
      </c>
      <c r="K9" s="99">
        <f>INDEX(Erfassung5!AC:AC,MATCH($A9,Erfassung5!$BN:$BN,0)-1)</f>
        <v>699</v>
      </c>
      <c r="L9" s="100">
        <f>INDEX(Erfassung5!AD:AD,MATCH($A9,Erfassung5!$BN:$BN,0))</f>
        <v>4</v>
      </c>
      <c r="M9" s="101">
        <f t="shared" si="0"/>
        <v>3338</v>
      </c>
      <c r="N9" s="102">
        <f t="shared" si="0"/>
        <v>13.5</v>
      </c>
      <c r="O9" s="76">
        <f>IFERROR(M9/INDEX(Erfassung5!BF:BF,MATCH(A9,Erfassung5!BN:BN,0)),0)</f>
        <v>166.9</v>
      </c>
      <c r="P9" s="122"/>
      <c r="Q9" s="51"/>
      <c r="AA9" s="213">
        <f>INDEX(TabGes4!K:K,MATCH(B9,TabGes4!B:B,0))+M9</f>
        <v>16451</v>
      </c>
      <c r="AB9" s="213">
        <f>INDEX(TabGes4!L:L,MATCH(B9,TabGes4!B:B,0))+N9</f>
        <v>51.5</v>
      </c>
      <c r="AC9" s="215">
        <f t="shared" si="1"/>
        <v>51.500016451</v>
      </c>
      <c r="AD9" s="215">
        <f t="shared" si="2"/>
        <v>6</v>
      </c>
      <c r="AE9" s="215">
        <f>INDEX(Tabelle4!AE:AE,MATCH(B9,Tabelle4!B:B,0))+SUMIF(Erfassung5!BQ:BQ,B9,Erfassung5!BF:BF)</f>
        <v>100</v>
      </c>
    </row>
    <row r="10" spans="1:31" ht="42" customHeight="1" thickBot="1" x14ac:dyDescent="0.25">
      <c r="A10" s="209">
        <v>4</v>
      </c>
      <c r="B10" s="121" t="str">
        <f>INDEX(Erfassung5!$S:$S,MATCH($A10,Erfassung5!$BN:$BN,0)-17)</f>
        <v>Kings Club Bayreuth Land 3</v>
      </c>
      <c r="C10" s="99">
        <f>INDEX(Erfassung5!U:U,MATCH($A10,Erfassung5!$BN:$BN,0)-1)</f>
        <v>678</v>
      </c>
      <c r="D10" s="100">
        <f>INDEX(Erfassung5!V:V,MATCH($A10,Erfassung5!$BN:$BN,0))</f>
        <v>1</v>
      </c>
      <c r="E10" s="99">
        <f>INDEX(Erfassung5!W:W,MATCH($A10,Erfassung5!$BN:$BN,0)-1)</f>
        <v>719</v>
      </c>
      <c r="F10" s="100">
        <f>INDEX(Erfassung5!X:X,MATCH($A10,Erfassung5!$BN:$BN,0))</f>
        <v>4</v>
      </c>
      <c r="G10" s="99">
        <f>INDEX(Erfassung5!Y:Y,MATCH($A10,Erfassung5!$BN:$BN,0)-1)</f>
        <v>694</v>
      </c>
      <c r="H10" s="100">
        <f>INDEX(Erfassung5!Z:Z,MATCH($A10,Erfassung5!$BN:$BN,0))</f>
        <v>5</v>
      </c>
      <c r="I10" s="99">
        <f>INDEX(Erfassung5!AA:AA,MATCH($A10,Erfassung5!$BN:$BN,0)-1)</f>
        <v>687</v>
      </c>
      <c r="J10" s="100">
        <f>INDEX(Erfassung5!AB:AB,MATCH($A10,Erfassung5!$BN:$BN,0))</f>
        <v>1</v>
      </c>
      <c r="K10" s="99">
        <f>INDEX(Erfassung5!AC:AC,MATCH($A10,Erfassung5!$BN:$BN,0)-1)</f>
        <v>697</v>
      </c>
      <c r="L10" s="100">
        <f>INDEX(Erfassung5!AD:AD,MATCH($A10,Erfassung5!$BN:$BN,0))</f>
        <v>2</v>
      </c>
      <c r="M10" s="101">
        <f t="shared" si="0"/>
        <v>3475</v>
      </c>
      <c r="N10" s="102">
        <f t="shared" si="0"/>
        <v>13</v>
      </c>
      <c r="O10" s="76">
        <f>IFERROR(M10/INDEX(Erfassung5!BF:BF,MATCH(A10,Erfassung5!BN:BN,0)),0)</f>
        <v>173.75</v>
      </c>
      <c r="P10" s="122"/>
      <c r="Q10" s="51"/>
      <c r="AA10" s="213">
        <f>INDEX(TabGes4!K:K,MATCH(B10,TabGes4!B:B,0))+M10</f>
        <v>17254</v>
      </c>
      <c r="AB10" s="213">
        <f>INDEX(TabGes4!L:L,MATCH(B10,TabGes4!B:B,0))+N10</f>
        <v>74.5</v>
      </c>
      <c r="AC10" s="215">
        <f t="shared" si="1"/>
        <v>74.500017253999999</v>
      </c>
      <c r="AD10" s="215">
        <f t="shared" si="2"/>
        <v>4</v>
      </c>
      <c r="AE10" s="215">
        <f>INDEX(Tabelle4!AE:AE,MATCH(B10,Tabelle4!B:B,0))+SUMIF(Erfassung5!BQ:BQ,B10,Erfassung5!BF:BF)</f>
        <v>100</v>
      </c>
    </row>
    <row r="11" spans="1:31" ht="42" customHeight="1" thickBot="1" x14ac:dyDescent="0.25">
      <c r="A11" s="209">
        <v>5</v>
      </c>
      <c r="B11" s="121" t="str">
        <f>INDEX(Erfassung5!$S:$S,MATCH($A11,Erfassung5!$BN:$BN,0)-17)</f>
        <v>Adler Nürnberg 1</v>
      </c>
      <c r="C11" s="99">
        <f>INDEX(Erfassung5!U:U,MATCH($A11,Erfassung5!$BN:$BN,0)-1)</f>
        <v>680</v>
      </c>
      <c r="D11" s="100">
        <f>INDEX(Erfassung5!V:V,MATCH($A11,Erfassung5!$BN:$BN,0))</f>
        <v>3</v>
      </c>
      <c r="E11" s="99">
        <f>INDEX(Erfassung5!W:W,MATCH($A11,Erfassung5!$BN:$BN,0)-1)</f>
        <v>682</v>
      </c>
      <c r="F11" s="100">
        <f>INDEX(Erfassung5!X:X,MATCH($A11,Erfassung5!$BN:$BN,0))</f>
        <v>1</v>
      </c>
      <c r="G11" s="99">
        <f>INDEX(Erfassung5!Y:Y,MATCH($A11,Erfassung5!$BN:$BN,0)-1)</f>
        <v>642</v>
      </c>
      <c r="H11" s="100">
        <f>INDEX(Erfassung5!Z:Z,MATCH($A11,Erfassung5!$BN:$BN,0))</f>
        <v>1</v>
      </c>
      <c r="I11" s="99">
        <f>INDEX(Erfassung5!AA:AA,MATCH($A11,Erfassung5!$BN:$BN,0)-1)</f>
        <v>687</v>
      </c>
      <c r="J11" s="100">
        <f>INDEX(Erfassung5!AB:AB,MATCH($A11,Erfassung5!$BN:$BN,0))</f>
        <v>5</v>
      </c>
      <c r="K11" s="99">
        <f>INDEX(Erfassung5!AC:AC,MATCH($A11,Erfassung5!$BN:$BN,0)-1)</f>
        <v>676</v>
      </c>
      <c r="L11" s="100">
        <f>INDEX(Erfassung5!AD:AD,MATCH($A11,Erfassung5!$BN:$BN,0))</f>
        <v>2</v>
      </c>
      <c r="M11" s="101">
        <f t="shared" si="0"/>
        <v>3367</v>
      </c>
      <c r="N11" s="102">
        <f t="shared" si="0"/>
        <v>12</v>
      </c>
      <c r="O11" s="76">
        <f>IFERROR(M11/INDEX(Erfassung5!BF:BF,MATCH(A11,Erfassung5!BN:BN,0)),0)</f>
        <v>168.35</v>
      </c>
      <c r="P11" s="122"/>
      <c r="Q11" s="51"/>
      <c r="AA11" s="213">
        <f>INDEX(TabGes4!K:K,MATCH(B11,TabGes4!B:B,0))+M11</f>
        <v>17168</v>
      </c>
      <c r="AB11" s="213">
        <f>INDEX(TabGes4!L:L,MATCH(B11,TabGes4!B:B,0))+N11</f>
        <v>74.5</v>
      </c>
      <c r="AC11" s="215">
        <f t="shared" si="1"/>
        <v>74.500017167999999</v>
      </c>
      <c r="AD11" s="215">
        <f t="shared" si="2"/>
        <v>5</v>
      </c>
      <c r="AE11" s="215">
        <f>INDEX(Tabelle4!AE:AE,MATCH(B11,Tabelle4!B:B,0))+SUMIF(Erfassung5!BQ:BQ,B11,Erfassung5!BF:BF)</f>
        <v>100</v>
      </c>
    </row>
    <row r="12" spans="1:31" ht="42" customHeight="1" thickBot="1" x14ac:dyDescent="0.25">
      <c r="A12" s="209">
        <v>6</v>
      </c>
      <c r="B12" s="121" t="str">
        <f>INDEX(Erfassung5!$S:$S,MATCH($A12,Erfassung5!$BN:$BN,0)-17)</f>
        <v>Castra Regina Regensburg 3</v>
      </c>
      <c r="C12" s="99">
        <f>INDEX(Erfassung5!U:U,MATCH($A12,Erfassung5!$BN:$BN,0)-1)</f>
        <v>716</v>
      </c>
      <c r="D12" s="100">
        <f>INDEX(Erfassung5!V:V,MATCH($A12,Erfassung5!$BN:$BN,0))</f>
        <v>1</v>
      </c>
      <c r="E12" s="99">
        <f>INDEX(Erfassung5!W:W,MATCH($A12,Erfassung5!$BN:$BN,0)-1)</f>
        <v>645</v>
      </c>
      <c r="F12" s="100">
        <f>INDEX(Erfassung5!X:X,MATCH($A12,Erfassung5!$BN:$BN,0))</f>
        <v>2</v>
      </c>
      <c r="G12" s="99">
        <f>INDEX(Erfassung5!Y:Y,MATCH($A12,Erfassung5!$BN:$BN,0)-1)</f>
        <v>632</v>
      </c>
      <c r="H12" s="100">
        <f>INDEX(Erfassung5!Z:Z,MATCH($A12,Erfassung5!$BN:$BN,0))</f>
        <v>1</v>
      </c>
      <c r="I12" s="99">
        <f>INDEX(Erfassung5!AA:AA,MATCH($A12,Erfassung5!$BN:$BN,0)-1)</f>
        <v>631</v>
      </c>
      <c r="J12" s="100">
        <f>INDEX(Erfassung5!AB:AB,MATCH($A12,Erfassung5!$BN:$BN,0))</f>
        <v>1</v>
      </c>
      <c r="K12" s="99">
        <f>INDEX(Erfassung5!AC:AC,MATCH($A12,Erfassung5!$BN:$BN,0)-1)</f>
        <v>674</v>
      </c>
      <c r="L12" s="100">
        <f>INDEX(Erfassung5!AD:AD,MATCH($A12,Erfassung5!$BN:$BN,0))</f>
        <v>1.5</v>
      </c>
      <c r="M12" s="101">
        <f t="shared" si="0"/>
        <v>3298</v>
      </c>
      <c r="N12" s="102">
        <f t="shared" si="0"/>
        <v>6.5</v>
      </c>
      <c r="O12" s="76">
        <f>IFERROR(M12/INDEX(Erfassung5!BF:BF,MATCH(A12,Erfassung5!BN:BN,0)),0)</f>
        <v>164.9</v>
      </c>
      <c r="P12" s="122"/>
      <c r="Q12" s="51"/>
      <c r="AA12" s="213">
        <f>INDEX(TabGes4!K:K,MATCH(B12,TabGes4!B:B,0))+M12</f>
        <v>17416</v>
      </c>
      <c r="AB12" s="213">
        <f>INDEX(TabGes4!L:L,MATCH(B12,TabGes4!B:B,0))+N12</f>
        <v>76.5</v>
      </c>
      <c r="AC12" s="215">
        <f t="shared" si="1"/>
        <v>76.500017416000006</v>
      </c>
      <c r="AD12" s="215">
        <f t="shared" si="2"/>
        <v>3</v>
      </c>
      <c r="AE12" s="215">
        <f>INDEX(Tabelle4!AE:AE,MATCH(B12,Tabelle4!B:B,0))+SUMIF(Erfassung5!BQ:BQ,B12,Erfassung5!BF:BF)</f>
        <v>100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</row>
    <row r="16" spans="1:31" x14ac:dyDescent="0.2">
      <c r="C16" s="382"/>
      <c r="D16" s="382"/>
      <c r="E16" s="382"/>
      <c r="F16" s="382"/>
      <c r="G16" s="382"/>
      <c r="H16" s="382"/>
    </row>
    <row r="17" spans="2:16" x14ac:dyDescent="0.2">
      <c r="B17" s="106" t="s">
        <v>1817</v>
      </c>
      <c r="C17" t="str">
        <f>IFERROR(INDEX(Erfassung5!S:S,MATCH(1,Erfassung5!BR:BR,0)),"")</f>
        <v>Pichl, Jürgen</v>
      </c>
      <c r="H17" t="str">
        <f>INDEX(Erfassung5!BQ:BQ,MATCH(C17,Erfassung5!S:S,0))</f>
        <v>Herzogenaurach 1</v>
      </c>
      <c r="N17" s="104">
        <f>IFERROR(ROUND(INDEX(Erfassung5!BP:BP,MATCH(1,Erfassung5!BR:BR,0)),0),"")</f>
        <v>247</v>
      </c>
    </row>
    <row r="18" spans="2:16" x14ac:dyDescent="0.2">
      <c r="B18" s="106"/>
      <c r="C18" t="str">
        <f>IF(N18="","",IFERROR(INDEX(Erfassung5!S:S,MATCH(2,Erfassung5!BR:BR,0)),""))</f>
        <v/>
      </c>
      <c r="H18" t="str">
        <f>IF(C18="","",INDEX(Erfassung5!BQ:BQ,MATCH(C18,Erfassung5!S:S,0)))</f>
        <v/>
      </c>
      <c r="N18" s="105" t="str">
        <f>IF(IFERROR(ROUND(INDEX(Erfassung5!BP:BP,MATCH(2,Erfassung5!BR:BR,0)),0),0)=0,"",IFERROR(ROUND(INDEX(Erfassung5!BP:BP,MATCH(2,Erfassung5!BR:BR,0)),0),0))</f>
        <v/>
      </c>
    </row>
    <row r="19" spans="2:16" x14ac:dyDescent="0.2">
      <c r="B19" s="106"/>
      <c r="C19" t="str">
        <f>IF(N19="","",IFERROR(INDEX(Erfassung5!S:S,MATCH(3,Erfassung5!BR:BR,0)),""))</f>
        <v/>
      </c>
      <c r="H19" t="str">
        <f>IF(C19="","",INDEX(Erfassung5!BQ:BQ,MATCH(C19,Erfassung5!S:S,0)))</f>
        <v/>
      </c>
      <c r="N19" s="105" t="str">
        <f>IF(IFERROR(ROUND(INDEX(Erfassung5!BP:BP,MATCH(3,Erfassung5!BR:BR,0)),0),0)=0,"",IFERROR(ROUND(INDEX(Erfassung5!BP:BP,MATCH(3,Erfassung5!BR:BR,0)),0),""))</f>
        <v/>
      </c>
    </row>
    <row r="20" spans="2:16" x14ac:dyDescent="0.2">
      <c r="B20" s="106" t="s">
        <v>1818</v>
      </c>
      <c r="C20" t="str">
        <f>IFERROR(INDEX(Erfassung5!S:S,MATCH(1,Erfassung5!BV:BV,0)),"")</f>
        <v>Pichl, Jürgen</v>
      </c>
      <c r="H20" t="str">
        <f>INDEX(Erfassung5!BQ:BQ,MATCH(C20,Erfassung5!S:S,0))</f>
        <v>Herzogenaurach 1</v>
      </c>
      <c r="N20" s="387" t="str">
        <f>IFERROR(ROUND(INDEX(Erfassung5!BS:BS,MATCH(1,Erfassung5!BV:BV,0)),0),"")&amp;"  /  "&amp;ROUND(IFERROR(ROUND(INDEX(Erfassung5!BS:BS,MATCH(1,Erfassung5!BV:BV,0)),0),"")/5,2)</f>
        <v>1042  /  208,4</v>
      </c>
      <c r="O20" s="387"/>
      <c r="P20" s="92"/>
    </row>
    <row r="21" spans="2:16" x14ac:dyDescent="0.2">
      <c r="C21" t="str">
        <f>IF(N21="","",IFERROR(INDEX(Erfassung5!S:S,MATCH(2,Erfassung5!BV:BV,0)),""))</f>
        <v/>
      </c>
      <c r="E21" s="6"/>
      <c r="H21" t="str">
        <f>IF(C21="","",INDEX(Erfassung5!BQ:BQ,MATCH(C21,Erfassung5!S:S,0)))</f>
        <v/>
      </c>
      <c r="N21" s="105" t="str">
        <f>IF(IFERROR(ROUND(INDEX(Erfassung5!BS:BS,MATCH(2,Erfassung5!BV:BV,0)),0),0)=0,"",IFERROR(ROUND(INDEX(Erfassung5!BS:BS,MATCH(2,Erfassung5!BV:BV,0)),0),0))</f>
        <v/>
      </c>
    </row>
    <row r="22" spans="2:16" x14ac:dyDescent="0.2">
      <c r="C22" t="str">
        <f>IF(N22="","",IFERROR(INDEX(Erfassung5!S:S,MATCH(3,Erfassung5!BV:BV,0)),""))</f>
        <v/>
      </c>
      <c r="E22" s="6"/>
      <c r="H22" t="str">
        <f>IF(C22="","",INDEX(Erfassung5!BQ:BQ,MATCH(C22,Erfassung5!S:S,0)))</f>
        <v/>
      </c>
      <c r="N22" s="105" t="str">
        <f>IF(IFERROR(ROUND(INDEX(Erfassung5!BS:BS,MATCH(3,Erfassung5!BV:BV,0)),0),0)=0,"",IFERROR(ROUND(INDEX(Erfassung5!BS:BS,MATCH(3,Erfassung5!BV:BV,0)),0),0))</f>
        <v/>
      </c>
    </row>
  </sheetData>
  <sheetProtection password="D19C" sheet="1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5:O15"/>
    <mergeCell ref="C16:H16"/>
    <mergeCell ref="N20:O20"/>
    <mergeCell ref="M5:N5"/>
    <mergeCell ref="O5:O6"/>
    <mergeCell ref="K5:L5"/>
  </mergeCells>
  <conditionalFormatting sqref="C7:L12">
    <cfRule type="top10" dxfId="5" priority="2" stopIfTrue="1" rank="1"/>
  </conditionalFormatting>
  <conditionalFormatting sqref="M7:M12">
    <cfRule type="top10" dxfId="4" priority="1" stopIfTrue="1" rank="1"/>
  </conditionalFormatting>
  <printOptions horizontalCentered="1" verticalCentered="1"/>
  <pageMargins left="0" right="0" top="0" bottom="0" header="0" footer="0"/>
  <pageSetup paperSize="9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A05BB-31FF-4A42-BFC0-C04187F52B13}">
  <sheetPr>
    <tabColor theme="8" tint="-0.249977111117893"/>
    <pageSetUpPr fitToPage="1"/>
  </sheetPr>
  <dimension ref="A1:P12"/>
  <sheetViews>
    <sheetView workbookViewId="0">
      <selection activeCell="U8" sqref="U8"/>
    </sheetView>
  </sheetViews>
  <sheetFormatPr baseColWidth="10" defaultRowHeight="12.75" x14ac:dyDescent="0.2"/>
  <cols>
    <col min="1" max="1" width="4.140625" customWidth="1"/>
    <col min="2" max="2" width="18.42578125" customWidth="1"/>
    <col min="3" max="12" width="8.7109375" customWidth="1"/>
    <col min="13" max="13" width="13.42578125" customWidth="1"/>
    <col min="14" max="14" width="9.42578125" customWidth="1"/>
    <col min="16" max="16" width="6.42578125" customWidth="1"/>
  </cols>
  <sheetData>
    <row r="1" spans="1:16" ht="28.5" customHeight="1" x14ac:dyDescent="0.2">
      <c r="A1" s="395" t="str">
        <f>Schlüssel!$C$1</f>
        <v>Bezirksliga N1 Männer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</row>
    <row r="2" spans="1:16" ht="28.5" customHeight="1" x14ac:dyDescent="0.2">
      <c r="A2" s="379" t="str">
        <f>"Saison "&amp;Spielorte!C18&amp;"     -     Spieltag "&amp;Erfassung5!AD2&amp;"     -     "&amp;TEXT(Erfassung5!AD1,"T. MMMM JJJJ")</f>
        <v>Saison 2024/2025     -     Spieltag 5     -     13.04.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</row>
    <row r="3" spans="1:16" ht="28.5" customHeight="1" x14ac:dyDescent="0.2">
      <c r="A3" s="378" t="s">
        <v>1863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</row>
    <row r="4" spans="1:16" ht="28.5" customHeight="1" thickBot="1" x14ac:dyDescent="0.25">
      <c r="A4" s="210"/>
      <c r="B4" s="210"/>
      <c r="C4" s="87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88"/>
      <c r="O4" s="162"/>
    </row>
    <row r="5" spans="1:16" x14ac:dyDescent="0.2">
      <c r="A5" s="380" t="s">
        <v>1803</v>
      </c>
      <c r="B5" s="383" t="s">
        <v>1804</v>
      </c>
      <c r="C5" s="385" t="s">
        <v>1807</v>
      </c>
      <c r="D5" s="386"/>
      <c r="E5" s="385" t="s">
        <v>1808</v>
      </c>
      <c r="F5" s="386"/>
      <c r="G5" s="385" t="s">
        <v>1809</v>
      </c>
      <c r="H5" s="386"/>
      <c r="I5" s="393" t="s">
        <v>1810</v>
      </c>
      <c r="J5" s="386"/>
      <c r="K5" s="393" t="s">
        <v>1811</v>
      </c>
      <c r="L5" s="386"/>
      <c r="M5" s="385" t="s">
        <v>1791</v>
      </c>
      <c r="N5" s="386"/>
      <c r="O5" s="389" t="s">
        <v>1805</v>
      </c>
    </row>
    <row r="6" spans="1:16" ht="13.5" thickBot="1" x14ac:dyDescent="0.25">
      <c r="A6" s="381"/>
      <c r="B6" s="384"/>
      <c r="C6" s="74" t="s">
        <v>1799</v>
      </c>
      <c r="D6" s="75" t="s">
        <v>1800</v>
      </c>
      <c r="E6" s="74" t="s">
        <v>1799</v>
      </c>
      <c r="F6" s="75" t="s">
        <v>1800</v>
      </c>
      <c r="G6" s="74" t="s">
        <v>1799</v>
      </c>
      <c r="H6" s="75" t="s">
        <v>1800</v>
      </c>
      <c r="I6" s="74" t="s">
        <v>1799</v>
      </c>
      <c r="J6" s="75" t="s">
        <v>1800</v>
      </c>
      <c r="K6" s="74" t="s">
        <v>1799</v>
      </c>
      <c r="L6" s="75" t="s">
        <v>1800</v>
      </c>
      <c r="M6" s="74" t="s">
        <v>1799</v>
      </c>
      <c r="N6" s="75" t="s">
        <v>1800</v>
      </c>
      <c r="O6" s="390"/>
    </row>
    <row r="7" spans="1:16" ht="42" customHeight="1" thickBot="1" x14ac:dyDescent="0.25">
      <c r="A7" s="163">
        <v>1</v>
      </c>
      <c r="B7" s="121" t="str">
        <f>INDEX(Tabelle5!B:B,MATCH(A7,Tabelle5!AD:AD,0))</f>
        <v>Castra Regina Regensburg 2</v>
      </c>
      <c r="C7" s="164">
        <f>INDEX(Tabelle1!M:M,MATCH(B7,Tabelle1!B:B,0))</f>
        <v>3939</v>
      </c>
      <c r="D7" s="165">
        <f>INDEX(Tabelle1!N:N,MATCH(B7,Tabelle1!B:B,0))</f>
        <v>26</v>
      </c>
      <c r="E7" s="164">
        <f>INDEX(Tabelle2!M:M,MATCH(B7,Tabelle2!B:B,0))</f>
        <v>3461</v>
      </c>
      <c r="F7" s="165">
        <f>INDEX(Tabelle2!N:N,MATCH(B7,Tabelle2!B:B,0))</f>
        <v>12</v>
      </c>
      <c r="G7" s="164">
        <f>INDEX(Tabelle3!M:M,MATCH(B7,Tabelle3!B:B,0))</f>
        <v>3452</v>
      </c>
      <c r="H7" s="166">
        <f>INDEX(Tabelle3!N:N,MATCH(B7,Tabelle3!B:B,0))</f>
        <v>15</v>
      </c>
      <c r="I7" s="164">
        <f>INDEX(Tabelle4!M:M,MATCH(B7,Tabelle4!B:B,0))</f>
        <v>3770</v>
      </c>
      <c r="J7" s="166">
        <f>INDEX(Tabelle4!N:N,MATCH(B7,Tabelle4!B:B,0))</f>
        <v>18</v>
      </c>
      <c r="K7" s="164">
        <f>INDEX(Tabelle5!M:M,MATCH(B7,Tabelle5!B:B,0))</f>
        <v>3761</v>
      </c>
      <c r="L7" s="166">
        <f>INDEX(Tabelle5!N:N,MATCH(B7,Tabelle5!B:B,0))</f>
        <v>24.5</v>
      </c>
      <c r="M7" s="219">
        <f t="shared" ref="M7:N12" si="0">SUM(C7+E7+G7+I7+K7)</f>
        <v>18383</v>
      </c>
      <c r="N7" s="220">
        <f t="shared" si="0"/>
        <v>95.5</v>
      </c>
      <c r="O7" s="221">
        <f>M7/INDEX(Tabelle5!$AE:$AE,MATCH($B7,Tabelle5!$B:$B,0))</f>
        <v>183.83</v>
      </c>
      <c r="P7" s="81"/>
    </row>
    <row r="8" spans="1:16" ht="42" customHeight="1" thickBot="1" x14ac:dyDescent="0.25">
      <c r="A8" s="163">
        <v>2</v>
      </c>
      <c r="B8" s="121" t="str">
        <f>INDEX(Tabelle5!B:B,MATCH(A8,Tabelle5!AD:AD,0))</f>
        <v>Herzogenaurach 1</v>
      </c>
      <c r="C8" s="164">
        <f>INDEX(Tabelle1!M:M,MATCH(B8,Tabelle1!B:B,0))</f>
        <v>3545</v>
      </c>
      <c r="D8" s="165">
        <f>INDEX(Tabelle1!N:N,MATCH(B8,Tabelle1!B:B,0))</f>
        <v>12</v>
      </c>
      <c r="E8" s="164">
        <f>INDEX(Tabelle2!M:M,MATCH(B8,Tabelle2!B:B,0))</f>
        <v>3580</v>
      </c>
      <c r="F8" s="165">
        <f>INDEX(Tabelle2!N:N,MATCH(B8,Tabelle2!B:B,0))</f>
        <v>17</v>
      </c>
      <c r="G8" s="164">
        <f>INDEX(Tabelle3!M:M,MATCH(B8,Tabelle3!B:B,0))</f>
        <v>3471</v>
      </c>
      <c r="H8" s="166">
        <f>INDEX(Tabelle3!N:N,MATCH(B8,Tabelle3!B:B,0))</f>
        <v>13</v>
      </c>
      <c r="I8" s="164">
        <f>INDEX(Tabelle4!M:M,MATCH(B8,Tabelle4!B:B,0))</f>
        <v>3685</v>
      </c>
      <c r="J8" s="166">
        <f>INDEX(Tabelle4!N:N,MATCH(B8,Tabelle4!B:B,0))</f>
        <v>15</v>
      </c>
      <c r="K8" s="164">
        <f>INDEX(Tabelle5!M:M,MATCH(B8,Tabelle5!B:B,0))</f>
        <v>3767</v>
      </c>
      <c r="L8" s="166">
        <f>INDEX(Tabelle5!N:N,MATCH(B8,Tabelle5!B:B,0))</f>
        <v>20.5</v>
      </c>
      <c r="M8" s="219">
        <f t="shared" si="0"/>
        <v>18048</v>
      </c>
      <c r="N8" s="220">
        <f t="shared" si="0"/>
        <v>77.5</v>
      </c>
      <c r="O8" s="221">
        <f>M8/INDEX(Tabelle5!$AE:$AE,MATCH($B8,Tabelle5!$B:$B,0))</f>
        <v>180.48</v>
      </c>
      <c r="P8" s="81"/>
    </row>
    <row r="9" spans="1:16" ht="42" customHeight="1" thickBot="1" x14ac:dyDescent="0.25">
      <c r="A9" s="163">
        <v>3</v>
      </c>
      <c r="B9" s="121" t="str">
        <f>INDEX(Tabelle5!B:B,MATCH(A9,Tabelle5!AD:AD,0))</f>
        <v>Castra Regina Regensburg 3</v>
      </c>
      <c r="C9" s="164">
        <f>INDEX(Tabelle1!M:M,MATCH(B9,Tabelle1!B:B,0))</f>
        <v>3551</v>
      </c>
      <c r="D9" s="165">
        <f>INDEX(Tabelle1!N:N,MATCH(B9,Tabelle1!B:B,0))</f>
        <v>19</v>
      </c>
      <c r="E9" s="164">
        <f>INDEX(Tabelle2!M:M,MATCH(B9,Tabelle2!B:B,0))</f>
        <v>3650</v>
      </c>
      <c r="F9" s="165">
        <f>INDEX(Tabelle2!N:N,MATCH(B9,Tabelle2!B:B,0))</f>
        <v>19</v>
      </c>
      <c r="G9" s="164">
        <f>INDEX(Tabelle3!M:M,MATCH(B9,Tabelle3!B:B,0))</f>
        <v>3367</v>
      </c>
      <c r="H9" s="166">
        <f>INDEX(Tabelle3!N:N,MATCH(B9,Tabelle3!B:B,0))</f>
        <v>15</v>
      </c>
      <c r="I9" s="164">
        <f>INDEX(Tabelle4!M:M,MATCH(B9,Tabelle4!B:B,0))</f>
        <v>3550</v>
      </c>
      <c r="J9" s="166">
        <f>INDEX(Tabelle4!N:N,MATCH(B9,Tabelle4!B:B,0))</f>
        <v>17</v>
      </c>
      <c r="K9" s="164">
        <f>INDEX(Tabelle5!M:M,MATCH(B9,Tabelle5!B:B,0))</f>
        <v>3298</v>
      </c>
      <c r="L9" s="166">
        <f>INDEX(Tabelle5!N:N,MATCH(B9,Tabelle5!B:B,0))</f>
        <v>6.5</v>
      </c>
      <c r="M9" s="219">
        <f t="shared" si="0"/>
        <v>17416</v>
      </c>
      <c r="N9" s="220">
        <f t="shared" si="0"/>
        <v>76.5</v>
      </c>
      <c r="O9" s="221">
        <f>M9/INDEX(Tabelle5!$AE:$AE,MATCH($B9,Tabelle5!$B:$B,0))</f>
        <v>174.16</v>
      </c>
      <c r="P9" s="81"/>
    </row>
    <row r="10" spans="1:16" ht="42" customHeight="1" thickBot="1" x14ac:dyDescent="0.25">
      <c r="A10" s="163">
        <v>4</v>
      </c>
      <c r="B10" s="121" t="str">
        <f>INDEX(Tabelle5!B:B,MATCH(A10,Tabelle5!AD:AD,0))</f>
        <v>Kings Club Bayreuth Land 3</v>
      </c>
      <c r="C10" s="164">
        <f>INDEX(Tabelle1!M:M,MATCH(B10,Tabelle1!B:B,0))</f>
        <v>3375</v>
      </c>
      <c r="D10" s="165">
        <f>INDEX(Tabelle1!N:N,MATCH(B10,Tabelle1!B:B,0))</f>
        <v>7.5</v>
      </c>
      <c r="E10" s="164">
        <f>INDEX(Tabelle2!M:M,MATCH(B10,Tabelle2!B:B,0))</f>
        <v>3442</v>
      </c>
      <c r="F10" s="165">
        <f>INDEX(Tabelle2!N:N,MATCH(B10,Tabelle2!B:B,0))</f>
        <v>19</v>
      </c>
      <c r="G10" s="164">
        <f>INDEX(Tabelle3!M:M,MATCH(B10,Tabelle3!B:B,0))</f>
        <v>3378</v>
      </c>
      <c r="H10" s="166">
        <f>INDEX(Tabelle3!N:N,MATCH(B10,Tabelle3!B:B,0))</f>
        <v>16</v>
      </c>
      <c r="I10" s="164">
        <f>INDEX(Tabelle4!M:M,MATCH(B10,Tabelle4!B:B,0))</f>
        <v>3584</v>
      </c>
      <c r="J10" s="166">
        <f>INDEX(Tabelle4!N:N,MATCH(B10,Tabelle4!B:B,0))</f>
        <v>19</v>
      </c>
      <c r="K10" s="164">
        <f>INDEX(Tabelle5!M:M,MATCH(B10,Tabelle5!B:B,0))</f>
        <v>3475</v>
      </c>
      <c r="L10" s="166">
        <f>INDEX(Tabelle5!N:N,MATCH(B10,Tabelle5!B:B,0))</f>
        <v>13</v>
      </c>
      <c r="M10" s="219">
        <f t="shared" si="0"/>
        <v>17254</v>
      </c>
      <c r="N10" s="220">
        <f t="shared" si="0"/>
        <v>74.5</v>
      </c>
      <c r="O10" s="221">
        <f>M10/INDEX(Tabelle5!$AE:$AE,MATCH($B10,Tabelle5!$B:$B,0))</f>
        <v>172.54</v>
      </c>
      <c r="P10" s="81"/>
    </row>
    <row r="11" spans="1:16" ht="42" customHeight="1" thickBot="1" x14ac:dyDescent="0.25">
      <c r="A11" s="163">
        <v>5</v>
      </c>
      <c r="B11" s="121" t="str">
        <f>INDEX(Tabelle5!B:B,MATCH(A11,Tabelle5!AD:AD,0))</f>
        <v>Adler Nürnberg 1</v>
      </c>
      <c r="C11" s="164">
        <f>INDEX(Tabelle1!M:M,MATCH(B11,Tabelle1!B:B,0))</f>
        <v>3454</v>
      </c>
      <c r="D11" s="165">
        <f>INDEX(Tabelle1!N:N,MATCH(B11,Tabelle1!B:B,0))</f>
        <v>17.5</v>
      </c>
      <c r="E11" s="164">
        <f>INDEX(Tabelle2!M:M,MATCH(B11,Tabelle2!B:B,0))</f>
        <v>3342</v>
      </c>
      <c r="F11" s="165">
        <f>INDEX(Tabelle2!N:N,MATCH(B11,Tabelle2!B:B,0))</f>
        <v>15</v>
      </c>
      <c r="G11" s="164">
        <f>INDEX(Tabelle3!M:M,MATCH(B11,Tabelle3!B:B,0))</f>
        <v>3513</v>
      </c>
      <c r="H11" s="166">
        <f>INDEX(Tabelle3!N:N,MATCH(B11,Tabelle3!B:B,0))</f>
        <v>18</v>
      </c>
      <c r="I11" s="164">
        <f>INDEX(Tabelle4!M:M,MATCH(B11,Tabelle4!B:B,0))</f>
        <v>3492</v>
      </c>
      <c r="J11" s="166">
        <f>INDEX(Tabelle4!N:N,MATCH(B11,Tabelle4!B:B,0))</f>
        <v>12</v>
      </c>
      <c r="K11" s="164">
        <f>INDEX(Tabelle5!M:M,MATCH(B11,Tabelle5!B:B,0))</f>
        <v>3367</v>
      </c>
      <c r="L11" s="166">
        <f>INDEX(Tabelle5!N:N,MATCH(B11,Tabelle5!B:B,0))</f>
        <v>12</v>
      </c>
      <c r="M11" s="219">
        <f t="shared" si="0"/>
        <v>17168</v>
      </c>
      <c r="N11" s="220">
        <f t="shared" si="0"/>
        <v>74.5</v>
      </c>
      <c r="O11" s="221">
        <f>M11/INDEX(Tabelle5!$AE:$AE,MATCH($B11,Tabelle5!$B:$B,0))</f>
        <v>171.68</v>
      </c>
      <c r="P11" s="81"/>
    </row>
    <row r="12" spans="1:16" ht="42" customHeight="1" thickBot="1" x14ac:dyDescent="0.25">
      <c r="A12" s="163">
        <v>6</v>
      </c>
      <c r="B12" s="121" t="str">
        <f>INDEX(Tabelle5!B:B,MATCH(A12,Tabelle5!AD:AD,0))</f>
        <v>Kings Club Bayreuth Land 2</v>
      </c>
      <c r="C12" s="164">
        <f>INDEX(Tabelle1!M:M,MATCH(B12,Tabelle1!B:B,0))</f>
        <v>3248</v>
      </c>
      <c r="D12" s="165">
        <f>INDEX(Tabelle1!N:N,MATCH(B12,Tabelle1!B:B,0))</f>
        <v>8</v>
      </c>
      <c r="E12" s="164">
        <f>INDEX(Tabelle2!M:M,MATCH(B12,Tabelle2!B:B,0))</f>
        <v>3371</v>
      </c>
      <c r="F12" s="165">
        <f>INDEX(Tabelle2!N:N,MATCH(B12,Tabelle2!B:B,0))</f>
        <v>8</v>
      </c>
      <c r="G12" s="164">
        <f>INDEX(Tabelle3!M:M,MATCH(B12,Tabelle3!B:B,0))</f>
        <v>3137</v>
      </c>
      <c r="H12" s="166">
        <f>INDEX(Tabelle3!N:N,MATCH(B12,Tabelle3!B:B,0))</f>
        <v>13</v>
      </c>
      <c r="I12" s="164">
        <f>INDEX(Tabelle4!M:M,MATCH(B12,Tabelle4!B:B,0))</f>
        <v>3357</v>
      </c>
      <c r="J12" s="166">
        <f>INDEX(Tabelle4!N:N,MATCH(B12,Tabelle4!B:B,0))</f>
        <v>9</v>
      </c>
      <c r="K12" s="164">
        <f>INDEX(Tabelle5!M:M,MATCH(B12,Tabelle5!B:B,0))</f>
        <v>3338</v>
      </c>
      <c r="L12" s="166">
        <f>INDEX(Tabelle5!N:N,MATCH(B12,Tabelle5!B:B,0))</f>
        <v>13.5</v>
      </c>
      <c r="M12" s="219">
        <f t="shared" si="0"/>
        <v>16451</v>
      </c>
      <c r="N12" s="220">
        <f t="shared" si="0"/>
        <v>51.5</v>
      </c>
      <c r="O12" s="221">
        <f>IFERROR(M12/INDEX(Tabelle5!$AE:$AE,MATCH($B12,Tabelle5!$B:$B,0)),0)</f>
        <v>164.51</v>
      </c>
      <c r="P12" s="81"/>
    </row>
  </sheetData>
  <sheetProtection password="D19C" sheet="1"/>
  <mergeCells count="12"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0D38-9A65-4BED-BA03-5DA1AE6EDACD}">
  <sheetPr>
    <tabColor rgb="FF7030A0"/>
    <pageSetUpPr fitToPage="1"/>
  </sheetPr>
  <dimension ref="A1:P104"/>
  <sheetViews>
    <sheetView view="pageBreakPreview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5</v>
      </c>
      <c r="D2" s="114" t="s">
        <v>1821</v>
      </c>
      <c r="E2" s="115"/>
      <c r="F2" s="116"/>
      <c r="L2" s="108">
        <f>INDEX(Starter!A:A,ROW()-1)</f>
        <v>7136</v>
      </c>
      <c r="M2" s="108">
        <f>SUMIF(Erfassung5!BD:BD,L2,Erfassung5!BS:BS)</f>
        <v>0</v>
      </c>
      <c r="N2" s="108">
        <f>SUMIF(Erfassung5!BD:BD,L2,Erfassung5!BG:BG)</f>
        <v>0</v>
      </c>
      <c r="O2" s="108">
        <f t="shared" ref="O2:O65" si="0">IF(N2=0,0,M2/N2-ROW()/1000000000)</f>
        <v>0</v>
      </c>
      <c r="P2" s="108">
        <f t="shared" ref="P2:P65" si="1">RANK(O2,O:O)</f>
        <v>26</v>
      </c>
    </row>
    <row r="3" spans="1:16" x14ac:dyDescent="0.2">
      <c r="L3" s="108">
        <f>INDEX(Starter!A:A,ROW()-1)</f>
        <v>7123</v>
      </c>
      <c r="M3" s="108">
        <f>SUMIF(Erfassung5!BD:BD,L3,Erfassung5!BS:BS)</f>
        <v>777</v>
      </c>
      <c r="N3" s="108">
        <f>SUMIF(Erfassung5!BD:BD,L3,Erfassung5!BG:BG)</f>
        <v>5</v>
      </c>
      <c r="O3" s="108">
        <f t="shared" si="0"/>
        <v>155.39999999700001</v>
      </c>
      <c r="P3" s="108">
        <f t="shared" si="1"/>
        <v>23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SUMIF(Erfassung5!BD:BD,L4,Erfassung5!BS:BS)</f>
        <v>802</v>
      </c>
      <c r="N4" s="108">
        <f>SUMIF(Erfassung5!BD:BD,L4,Erfassung5!BG:BG)</f>
        <v>5</v>
      </c>
      <c r="O4" s="108">
        <f t="shared" si="0"/>
        <v>160.39999999600002</v>
      </c>
      <c r="P4" s="108">
        <f t="shared" si="1"/>
        <v>20</v>
      </c>
    </row>
    <row r="5" spans="1:16" x14ac:dyDescent="0.2">
      <c r="A5" s="108">
        <v>1</v>
      </c>
      <c r="B5" s="108">
        <f t="shared" ref="B5:B68" si="2">IFERROR(INDEX(L:L,MATCH(A5,P:P,0)),"")</f>
        <v>7283</v>
      </c>
      <c r="C5" s="108" t="str">
        <f>IFERROR(INDEX(Starter!B:B,MATCH(B5,Starter!A:A,0)),"")</f>
        <v>Pichl, Jürgen</v>
      </c>
      <c r="D5" s="108" t="str">
        <f>IFERROR(INDEX(Starter!C:C,MATCH(B5,Starter!A:A,0)),"")</f>
        <v>BC Herzogenaurach</v>
      </c>
      <c r="E5" s="117">
        <f t="shared" ref="E5:E68" si="3">IFERROR(INDEX(M:M,MATCH(A5,P:P,0)),"")</f>
        <v>1042</v>
      </c>
      <c r="F5" s="108">
        <f t="shared" ref="F5:F68" si="4">IFERROR(INDEX(N:N,MATCH(A5,P:P,0)),"")</f>
        <v>5</v>
      </c>
      <c r="G5" s="112">
        <f t="shared" ref="G5:G68" si="5">IFERROR(INDEX(O:O,MATCH(A5,P:P,0)),"")</f>
        <v>208.399999979</v>
      </c>
      <c r="L5" s="108">
        <f>INDEX(Starter!A:A,ROW()-1)</f>
        <v>7128</v>
      </c>
      <c r="M5" s="108">
        <f>SUMIF(Erfassung5!BD:BD,L5,Erfassung5!BS:BS)</f>
        <v>0</v>
      </c>
      <c r="N5" s="108">
        <f>SUMIF(Erfassung5!BD:BD,L5,Erfassung5!BG:BG)</f>
        <v>0</v>
      </c>
      <c r="O5" s="108">
        <f t="shared" si="0"/>
        <v>0</v>
      </c>
      <c r="P5" s="108">
        <f t="shared" si="1"/>
        <v>26</v>
      </c>
    </row>
    <row r="6" spans="1:16" x14ac:dyDescent="0.2">
      <c r="A6" s="108">
        <f t="shared" ref="A6:A69" si="6">IFERROR(IF(A5+1&gt;MAX(P:P)-1,"",A5+1),"")</f>
        <v>2</v>
      </c>
      <c r="B6" s="108">
        <f t="shared" si="2"/>
        <v>38046</v>
      </c>
      <c r="C6" s="108" t="str">
        <f>IFERROR(INDEX(Starter!B:B,MATCH(B6,Starter!A:A,0)),"")</f>
        <v>Humbs, Martin</v>
      </c>
      <c r="D6" s="108" t="str">
        <f>IFERROR(INDEX(Starter!C:C,MATCH(B6,Starter!A:A,0)),"")</f>
        <v>BC Castra Regina Regensburg</v>
      </c>
      <c r="E6" s="117">
        <f t="shared" si="3"/>
        <v>964</v>
      </c>
      <c r="F6" s="108">
        <f t="shared" si="4"/>
        <v>5</v>
      </c>
      <c r="G6" s="112">
        <f t="shared" si="5"/>
        <v>192.79999997800002</v>
      </c>
      <c r="L6" s="108">
        <f>INDEX(Starter!A:A,ROW()-1)</f>
        <v>38507</v>
      </c>
      <c r="M6" s="108">
        <f>SUMIF(Erfassung5!BD:BD,L6,Erfassung5!BS:BS)</f>
        <v>0</v>
      </c>
      <c r="N6" s="108">
        <f>SUMIF(Erfassung5!BD:BD,L6,Erfassung5!BG:BG)</f>
        <v>0</v>
      </c>
      <c r="O6" s="108">
        <f t="shared" si="0"/>
        <v>0</v>
      </c>
      <c r="P6" s="108">
        <f t="shared" si="1"/>
        <v>26</v>
      </c>
    </row>
    <row r="7" spans="1:16" x14ac:dyDescent="0.2">
      <c r="A7" s="108">
        <f t="shared" si="6"/>
        <v>3</v>
      </c>
      <c r="B7" s="108">
        <f t="shared" si="2"/>
        <v>7126</v>
      </c>
      <c r="C7" s="108" t="str">
        <f>IFERROR(INDEX(Starter!B:B,MATCH(B7,Starter!A:A,0)),"")</f>
        <v>Wülfert, Frank</v>
      </c>
      <c r="D7" s="108" t="str">
        <f>IFERROR(INDEX(Starter!C:C,MATCH(B7,Starter!A:A,0)),"")</f>
        <v>Kings Club Bayreuth</v>
      </c>
      <c r="E7" s="117">
        <f t="shared" si="3"/>
        <v>960</v>
      </c>
      <c r="F7" s="108">
        <f t="shared" si="4"/>
        <v>5</v>
      </c>
      <c r="G7" s="112">
        <f t="shared" si="5"/>
        <v>191.99999995499999</v>
      </c>
      <c r="L7" s="108">
        <f>INDEX(Starter!A:A,ROW()-1)</f>
        <v>38115</v>
      </c>
      <c r="M7" s="108">
        <f>SUMIF(Erfassung5!BD:BD,L7,Erfassung5!BS:BS)</f>
        <v>0</v>
      </c>
      <c r="N7" s="108">
        <f>SUMIF(Erfassung5!BD:BD,L7,Erfassung5!BG:BG)</f>
        <v>0</v>
      </c>
      <c r="O7" s="108">
        <f t="shared" si="0"/>
        <v>0</v>
      </c>
      <c r="P7" s="108">
        <f t="shared" si="1"/>
        <v>26</v>
      </c>
    </row>
    <row r="8" spans="1:16" x14ac:dyDescent="0.2">
      <c r="A8" s="108">
        <f t="shared" si="6"/>
        <v>4</v>
      </c>
      <c r="B8" s="108">
        <f t="shared" si="2"/>
        <v>25895</v>
      </c>
      <c r="C8" s="108" t="str">
        <f>IFERROR(INDEX(Starter!B:B,MATCH(B8,Starter!A:A,0)),"")</f>
        <v>Gilch, Stefan</v>
      </c>
      <c r="D8" s="108" t="str">
        <f>IFERROR(INDEX(Starter!C:C,MATCH(B8,Starter!A:A,0)),"")</f>
        <v>BC Castra Regina Regensburg</v>
      </c>
      <c r="E8" s="117">
        <f t="shared" si="3"/>
        <v>940</v>
      </c>
      <c r="F8" s="108">
        <f t="shared" si="4"/>
        <v>5</v>
      </c>
      <c r="G8" s="112">
        <f t="shared" si="5"/>
        <v>187.99999996700001</v>
      </c>
      <c r="L8" s="108">
        <f>INDEX(Starter!A:A,ROW()-1)</f>
        <v>7586</v>
      </c>
      <c r="M8" s="108">
        <f>SUMIF(Erfassung5!BD:BD,L8,Erfassung5!BS:BS)</f>
        <v>840</v>
      </c>
      <c r="N8" s="108">
        <f>SUMIF(Erfassung5!BD:BD,L8,Erfassung5!BG:BG)</f>
        <v>5</v>
      </c>
      <c r="O8" s="108">
        <f t="shared" si="0"/>
        <v>167.999999992</v>
      </c>
      <c r="P8" s="108">
        <f t="shared" si="1"/>
        <v>19</v>
      </c>
    </row>
    <row r="9" spans="1:16" x14ac:dyDescent="0.2">
      <c r="A9" s="108">
        <f t="shared" si="6"/>
        <v>5</v>
      </c>
      <c r="B9" s="108">
        <f t="shared" si="2"/>
        <v>25760</v>
      </c>
      <c r="C9" s="108" t="str">
        <f>IFERROR(INDEX(Starter!B:B,MATCH(B9,Starter!A:A,0)),"")</f>
        <v>Inkermann, Matthias</v>
      </c>
      <c r="D9" s="108" t="str">
        <f>IFERROR(INDEX(Starter!C:C,MATCH(B9,Starter!A:A,0)),"")</f>
        <v>BC Herzogenaurach</v>
      </c>
      <c r="E9" s="117">
        <f t="shared" si="3"/>
        <v>938</v>
      </c>
      <c r="F9" s="108">
        <f t="shared" si="4"/>
        <v>5</v>
      </c>
      <c r="G9" s="112">
        <f t="shared" si="5"/>
        <v>187.59999995699999</v>
      </c>
      <c r="L9" s="108">
        <f>INDEX(Starter!A:A,ROW()-1)</f>
        <v>9936</v>
      </c>
      <c r="M9" s="108">
        <f>SUMIF(Erfassung5!BD:BD,L9,Erfassung5!BS:BS)</f>
        <v>916</v>
      </c>
      <c r="N9" s="108">
        <f>SUMIF(Erfassung5!BD:BD,L9,Erfassung5!BG:BG)</f>
        <v>5</v>
      </c>
      <c r="O9" s="108">
        <f t="shared" si="0"/>
        <v>183.199999991</v>
      </c>
      <c r="P9" s="108">
        <f t="shared" si="1"/>
        <v>8</v>
      </c>
    </row>
    <row r="10" spans="1:16" x14ac:dyDescent="0.2">
      <c r="A10" s="108">
        <f t="shared" si="6"/>
        <v>6</v>
      </c>
      <c r="B10" s="108">
        <f t="shared" si="2"/>
        <v>38571</v>
      </c>
      <c r="C10" s="108" t="str">
        <f>IFERROR(INDEX(Starter!B:B,MATCH(B10,Starter!A:A,0)),"")</f>
        <v>Simon, Steven</v>
      </c>
      <c r="D10" s="108" t="str">
        <f>IFERROR(INDEX(Starter!C:C,MATCH(B10,Starter!A:A,0)),"")</f>
        <v>BC Castra Regina Regensburg</v>
      </c>
      <c r="E10" s="117">
        <f t="shared" si="3"/>
        <v>930</v>
      </c>
      <c r="F10" s="108">
        <f t="shared" si="4"/>
        <v>5</v>
      </c>
      <c r="G10" s="112">
        <f t="shared" si="5"/>
        <v>185.99999997699999</v>
      </c>
      <c r="L10" s="108">
        <f>INDEX(Starter!A:A,ROW()-1)</f>
        <v>7135</v>
      </c>
      <c r="M10" s="108">
        <f>SUMIF(Erfassung5!BD:BD,L10,Erfassung5!BS:BS)</f>
        <v>0</v>
      </c>
      <c r="N10" s="108">
        <f>SUMIF(Erfassung5!BD:BD,L10,Erfassung5!BG:BG)</f>
        <v>0</v>
      </c>
      <c r="O10" s="108">
        <f t="shared" si="0"/>
        <v>0</v>
      </c>
      <c r="P10" s="108">
        <f t="shared" si="1"/>
        <v>26</v>
      </c>
    </row>
    <row r="11" spans="1:16" x14ac:dyDescent="0.2">
      <c r="A11" s="108">
        <f t="shared" si="6"/>
        <v>7</v>
      </c>
      <c r="B11" s="108">
        <f t="shared" si="2"/>
        <v>38870</v>
      </c>
      <c r="C11" s="108" t="str">
        <f>IFERROR(INDEX(Starter!B:B,MATCH(B11,Starter!A:A,0)),"")</f>
        <v>Martin, Dennis</v>
      </c>
      <c r="D11" s="108" t="str">
        <f>IFERROR(INDEX(Starter!C:C,MATCH(B11,Starter!A:A,0)),"")</f>
        <v>BC Castra Regina Regensburg</v>
      </c>
      <c r="E11" s="117">
        <f t="shared" si="3"/>
        <v>927</v>
      </c>
      <c r="F11" s="108">
        <f t="shared" si="4"/>
        <v>5</v>
      </c>
      <c r="G11" s="112">
        <f t="shared" si="5"/>
        <v>185.399999976</v>
      </c>
      <c r="L11" s="108">
        <f>INDEX(Starter!A:A,ROW()-1)</f>
        <v>38367</v>
      </c>
      <c r="M11" s="108">
        <f>SUMIF(Erfassung5!BD:BD,L11,Erfassung5!BS:BS)</f>
        <v>0</v>
      </c>
      <c r="N11" s="108">
        <f>SUMIF(Erfassung5!BD:BD,L11,Erfassung5!BG:BG)</f>
        <v>0</v>
      </c>
      <c r="O11" s="108">
        <f t="shared" si="0"/>
        <v>0</v>
      </c>
      <c r="P11" s="108">
        <f t="shared" si="1"/>
        <v>26</v>
      </c>
    </row>
    <row r="12" spans="1:16" x14ac:dyDescent="0.2">
      <c r="A12" s="108">
        <f t="shared" si="6"/>
        <v>8</v>
      </c>
      <c r="B12" s="108">
        <f t="shared" si="2"/>
        <v>9936</v>
      </c>
      <c r="C12" s="108" t="str">
        <f>IFERROR(INDEX(Starter!B:B,MATCH(B12,Starter!A:A,0)),"")</f>
        <v>Fischer, Nick</v>
      </c>
      <c r="D12" s="108" t="str">
        <f>IFERROR(INDEX(Starter!C:C,MATCH(B12,Starter!A:A,0)),"")</f>
        <v>Kings Club Bayreuth</v>
      </c>
      <c r="E12" s="117">
        <f t="shared" si="3"/>
        <v>916</v>
      </c>
      <c r="F12" s="108">
        <f t="shared" si="4"/>
        <v>5</v>
      </c>
      <c r="G12" s="112">
        <f t="shared" si="5"/>
        <v>183.199999991</v>
      </c>
      <c r="L12" s="108">
        <f>INDEX(Starter!A:A,ROW()-1)</f>
        <v>38152</v>
      </c>
      <c r="M12" s="108">
        <f>SUMIF(Erfassung5!BD:BD,L12,Erfassung5!BS:BS)</f>
        <v>0</v>
      </c>
      <c r="N12" s="108">
        <f>SUMIF(Erfassung5!BD:BD,L12,Erfassung5!BG:BG)</f>
        <v>0</v>
      </c>
      <c r="O12" s="108">
        <f t="shared" si="0"/>
        <v>0</v>
      </c>
      <c r="P12" s="108">
        <f t="shared" si="1"/>
        <v>26</v>
      </c>
    </row>
    <row r="13" spans="1:16" x14ac:dyDescent="0.2">
      <c r="A13" s="108">
        <f t="shared" si="6"/>
        <v>9</v>
      </c>
      <c r="B13" s="108">
        <f t="shared" si="2"/>
        <v>25130</v>
      </c>
      <c r="C13" s="108" t="str">
        <f>IFERROR(INDEX(Starter!B:B,MATCH(B13,Starter!A:A,0)),"")</f>
        <v>Aumeier, Bernhard</v>
      </c>
      <c r="D13" s="108" t="str">
        <f>IFERROR(INDEX(Starter!C:C,MATCH(B13,Starter!A:A,0)),"")</f>
        <v>BC Castra Regina Regensburg</v>
      </c>
      <c r="E13" s="117">
        <f t="shared" si="3"/>
        <v>909</v>
      </c>
      <c r="F13" s="108">
        <f t="shared" si="4"/>
        <v>5</v>
      </c>
      <c r="G13" s="112">
        <f t="shared" si="5"/>
        <v>181.79999997100001</v>
      </c>
      <c r="L13" s="108">
        <f>INDEX(Starter!A:A,ROW()-1)</f>
        <v>25007</v>
      </c>
      <c r="M13" s="108">
        <f>SUMIF(Erfassung5!BD:BD,L13,Erfassung5!BS:BS)</f>
        <v>0</v>
      </c>
      <c r="N13" s="108">
        <f>SUMIF(Erfassung5!BD:BD,L13,Erfassung5!BG:BG)</f>
        <v>0</v>
      </c>
      <c r="O13" s="108">
        <f t="shared" si="0"/>
        <v>0</v>
      </c>
      <c r="P13" s="108">
        <f t="shared" si="1"/>
        <v>26</v>
      </c>
    </row>
    <row r="14" spans="1:16" x14ac:dyDescent="0.2">
      <c r="A14" s="108">
        <f t="shared" si="6"/>
        <v>10</v>
      </c>
      <c r="B14" s="108">
        <f t="shared" si="2"/>
        <v>7282</v>
      </c>
      <c r="C14" s="108" t="str">
        <f>IFERROR(INDEX(Starter!B:B,MATCH(B14,Starter!A:A,0)),"")</f>
        <v>Voss, Horst</v>
      </c>
      <c r="D14" s="108" t="str">
        <f>IFERROR(INDEX(Starter!C:C,MATCH(B14,Starter!A:A,0)),"")</f>
        <v>BC Herzogenaurach</v>
      </c>
      <c r="E14" s="117">
        <f t="shared" si="3"/>
        <v>904</v>
      </c>
      <c r="F14" s="108">
        <f t="shared" si="4"/>
        <v>5</v>
      </c>
      <c r="G14" s="112">
        <f t="shared" si="5"/>
        <v>180.799999982</v>
      </c>
      <c r="L14" s="108">
        <f>INDEX(Starter!A:A,ROW()-1)</f>
        <v>38661</v>
      </c>
      <c r="M14" s="108">
        <f>SUMIF(Erfassung5!BD:BD,L14,Erfassung5!BS:BS)</f>
        <v>799</v>
      </c>
      <c r="N14" s="108">
        <f>SUMIF(Erfassung5!BD:BD,L14,Erfassung5!BG:BG)</f>
        <v>5</v>
      </c>
      <c r="O14" s="108">
        <f t="shared" si="0"/>
        <v>159.79999998600002</v>
      </c>
      <c r="P14" s="108">
        <f t="shared" si="1"/>
        <v>21</v>
      </c>
    </row>
    <row r="15" spans="1:16" x14ac:dyDescent="0.2">
      <c r="A15" s="108">
        <f t="shared" si="6"/>
        <v>11</v>
      </c>
      <c r="B15" s="108">
        <f t="shared" si="2"/>
        <v>25378</v>
      </c>
      <c r="C15" s="108" t="str">
        <f>IFERROR(INDEX(Starter!B:B,MATCH(B15,Starter!A:A,0)),"")</f>
        <v>Arnold, Nadine</v>
      </c>
      <c r="D15" s="108" t="str">
        <f>IFERROR(INDEX(Starter!C:C,MATCH(B15,Starter!A:A,0)),"")</f>
        <v>BC Herzogenaurach</v>
      </c>
      <c r="E15" s="117">
        <f t="shared" si="3"/>
        <v>360</v>
      </c>
      <c r="F15" s="108">
        <f t="shared" si="4"/>
        <v>2</v>
      </c>
      <c r="G15" s="112">
        <f t="shared" si="5"/>
        <v>179.999999981</v>
      </c>
      <c r="L15" s="108">
        <f>INDEX(Starter!A:A,ROW()-1)</f>
        <v>34393</v>
      </c>
      <c r="M15" s="108">
        <f>SUMIF(Erfassung5!BD:BD,L15,Erfassung5!BS:BS)</f>
        <v>0</v>
      </c>
      <c r="N15" s="108">
        <f>SUMIF(Erfassung5!BD:BD,L15,Erfassung5!BG:BG)</f>
        <v>0</v>
      </c>
      <c r="O15" s="108">
        <f t="shared" si="0"/>
        <v>0</v>
      </c>
      <c r="P15" s="108">
        <f t="shared" si="1"/>
        <v>26</v>
      </c>
    </row>
    <row r="16" spans="1:16" x14ac:dyDescent="0.2">
      <c r="A16" s="108">
        <f t="shared" si="6"/>
        <v>12</v>
      </c>
      <c r="B16" s="108">
        <f t="shared" si="2"/>
        <v>25811</v>
      </c>
      <c r="C16" s="108" t="str">
        <f>IFERROR(INDEX(Starter!B:B,MATCH(B16,Starter!A:A,0)),"")</f>
        <v>Schmelzl, Werner</v>
      </c>
      <c r="D16" s="108" t="str">
        <f>IFERROR(INDEX(Starter!C:C,MATCH(B16,Starter!A:A,0)),"")</f>
        <v>BC Adler Nürnberg</v>
      </c>
      <c r="E16" s="117">
        <f t="shared" si="3"/>
        <v>883</v>
      </c>
      <c r="F16" s="108">
        <f t="shared" si="4"/>
        <v>5</v>
      </c>
      <c r="G16" s="112">
        <f t="shared" si="5"/>
        <v>176.59999995999999</v>
      </c>
      <c r="L16" s="108">
        <f>INDEX(Starter!A:A,ROW()-1)</f>
        <v>38823</v>
      </c>
      <c r="M16" s="108">
        <f>SUMIF(Erfassung5!BD:BD,L16,Erfassung5!BS:BS)</f>
        <v>862</v>
      </c>
      <c r="N16" s="108">
        <f>SUMIF(Erfassung5!BD:BD,L16,Erfassung5!BG:BG)</f>
        <v>5</v>
      </c>
      <c r="O16" s="108">
        <f t="shared" si="0"/>
        <v>172.399999984</v>
      </c>
      <c r="P16" s="108">
        <f t="shared" si="1"/>
        <v>15</v>
      </c>
    </row>
    <row r="17" spans="1:16" x14ac:dyDescent="0.2">
      <c r="A17" s="108">
        <f t="shared" si="6"/>
        <v>13</v>
      </c>
      <c r="B17" s="108">
        <f t="shared" si="2"/>
        <v>7286</v>
      </c>
      <c r="C17" s="108" t="str">
        <f>IFERROR(INDEX(Starter!B:B,MATCH(B17,Starter!A:A,0)),"")</f>
        <v>Meier, Peter</v>
      </c>
      <c r="D17" s="108" t="str">
        <f>IFERROR(INDEX(Starter!C:C,MATCH(B17,Starter!A:A,0)),"")</f>
        <v>BC Herzogenaurach</v>
      </c>
      <c r="E17" s="117">
        <f t="shared" si="3"/>
        <v>523</v>
      </c>
      <c r="F17" s="108">
        <f t="shared" si="4"/>
        <v>3</v>
      </c>
      <c r="G17" s="112">
        <f t="shared" si="5"/>
        <v>174.33333331333336</v>
      </c>
      <c r="L17" s="108">
        <f>INDEX(Starter!A:A,ROW()-1)</f>
        <v>38509</v>
      </c>
      <c r="M17" s="108">
        <f>SUMIF(Erfassung5!BD:BD,L17,Erfassung5!BS:BS)</f>
        <v>857</v>
      </c>
      <c r="N17" s="108">
        <f>SUMIF(Erfassung5!BD:BD,L17,Erfassung5!BG:BG)</f>
        <v>5</v>
      </c>
      <c r="O17" s="108">
        <f t="shared" si="0"/>
        <v>171.39999998300001</v>
      </c>
      <c r="P17" s="108">
        <f t="shared" si="1"/>
        <v>17</v>
      </c>
    </row>
    <row r="18" spans="1:16" x14ac:dyDescent="0.2">
      <c r="A18" s="108">
        <f t="shared" si="6"/>
        <v>14</v>
      </c>
      <c r="B18" s="108">
        <f t="shared" si="2"/>
        <v>16707</v>
      </c>
      <c r="C18" s="108" t="str">
        <f>IFERROR(INDEX(Starter!B:B,MATCH(B18,Starter!A:A,0)),"")</f>
        <v>Beier, Thomas</v>
      </c>
      <c r="D18" s="108" t="str">
        <f>IFERROR(INDEX(Starter!C:C,MATCH(B18,Starter!A:A,0)),"")</f>
        <v>BC Adler Nürnberg</v>
      </c>
      <c r="E18" s="117">
        <f t="shared" si="3"/>
        <v>870</v>
      </c>
      <c r="F18" s="108">
        <f t="shared" si="4"/>
        <v>5</v>
      </c>
      <c r="G18" s="112">
        <f t="shared" si="5"/>
        <v>173.99999995799999</v>
      </c>
      <c r="L18" s="108">
        <f>INDEX(Starter!A:A,ROW()-1)</f>
        <v>7282</v>
      </c>
      <c r="M18" s="108">
        <f>SUMIF(Erfassung5!BD:BD,L18,Erfassung5!BS:BS)</f>
        <v>904</v>
      </c>
      <c r="N18" s="108">
        <f>SUMIF(Erfassung5!BD:BD,L18,Erfassung5!BG:BG)</f>
        <v>5</v>
      </c>
      <c r="O18" s="108">
        <f t="shared" si="0"/>
        <v>180.799999982</v>
      </c>
      <c r="P18" s="108">
        <f t="shared" si="1"/>
        <v>10</v>
      </c>
    </row>
    <row r="19" spans="1:16" x14ac:dyDescent="0.2">
      <c r="A19" s="108">
        <f t="shared" si="6"/>
        <v>15</v>
      </c>
      <c r="B19" s="108">
        <f t="shared" si="2"/>
        <v>38823</v>
      </c>
      <c r="C19" s="108" t="str">
        <f>IFERROR(INDEX(Starter!B:B,MATCH(B19,Starter!A:A,0)),"")</f>
        <v>Sommerer, Stefan</v>
      </c>
      <c r="D19" s="108" t="str">
        <f>IFERROR(INDEX(Starter!C:C,MATCH(B19,Starter!A:A,0)),"")</f>
        <v>Kings Club Bayreuth</v>
      </c>
      <c r="E19" s="117">
        <f t="shared" si="3"/>
        <v>862</v>
      </c>
      <c r="F19" s="108">
        <f t="shared" si="4"/>
        <v>5</v>
      </c>
      <c r="G19" s="112">
        <f t="shared" si="5"/>
        <v>172.399999984</v>
      </c>
      <c r="L19" s="108">
        <f>INDEX(Starter!A:A,ROW()-1)</f>
        <v>25378</v>
      </c>
      <c r="M19" s="108">
        <f>SUMIF(Erfassung5!BD:BD,L19,Erfassung5!BS:BS)</f>
        <v>360</v>
      </c>
      <c r="N19" s="108">
        <f>SUMIF(Erfassung5!BD:BD,L19,Erfassung5!BG:BG)</f>
        <v>2</v>
      </c>
      <c r="O19" s="108">
        <f t="shared" si="0"/>
        <v>179.999999981</v>
      </c>
      <c r="P19" s="108">
        <f t="shared" si="1"/>
        <v>11</v>
      </c>
    </row>
    <row r="20" spans="1:16" x14ac:dyDescent="0.2">
      <c r="A20" s="108">
        <f t="shared" si="6"/>
        <v>16</v>
      </c>
      <c r="B20" s="108">
        <f t="shared" si="2"/>
        <v>38570</v>
      </c>
      <c r="C20" s="108" t="str">
        <f>IFERROR(INDEX(Starter!B:B,MATCH(B20,Starter!A:A,0)),"")</f>
        <v>Bothe, Willi</v>
      </c>
      <c r="D20" s="108" t="str">
        <f>IFERROR(INDEX(Starter!C:C,MATCH(B20,Starter!A:A,0)),"")</f>
        <v>BC Castra Regina Regensburg</v>
      </c>
      <c r="E20" s="117">
        <f t="shared" si="3"/>
        <v>858</v>
      </c>
      <c r="F20" s="108">
        <f t="shared" si="4"/>
        <v>5</v>
      </c>
      <c r="G20" s="112">
        <f t="shared" si="5"/>
        <v>171.59999996499999</v>
      </c>
      <c r="L20" s="108">
        <f>INDEX(Starter!A:A,ROW()-1)</f>
        <v>7286</v>
      </c>
      <c r="M20" s="108">
        <f>SUMIF(Erfassung5!BD:BD,L20,Erfassung5!BS:BS)</f>
        <v>523</v>
      </c>
      <c r="N20" s="108">
        <f>SUMIF(Erfassung5!BD:BD,L20,Erfassung5!BG:BG)</f>
        <v>3</v>
      </c>
      <c r="O20" s="108">
        <f t="shared" si="0"/>
        <v>174.33333331333336</v>
      </c>
      <c r="P20" s="108">
        <f t="shared" si="1"/>
        <v>13</v>
      </c>
    </row>
    <row r="21" spans="1:16" x14ac:dyDescent="0.2">
      <c r="A21" s="108">
        <f t="shared" si="6"/>
        <v>17</v>
      </c>
      <c r="B21" s="108">
        <f t="shared" si="2"/>
        <v>38509</v>
      </c>
      <c r="C21" s="108" t="str">
        <f>IFERROR(INDEX(Starter!B:B,MATCH(B21,Starter!A:A,0)),"")</f>
        <v>Zahiri, Ali</v>
      </c>
      <c r="D21" s="108" t="str">
        <f>IFERROR(INDEX(Starter!C:C,MATCH(B21,Starter!A:A,0)),"")</f>
        <v>Kings Club Bayreuth</v>
      </c>
      <c r="E21" s="117">
        <f t="shared" si="3"/>
        <v>857</v>
      </c>
      <c r="F21" s="108">
        <f t="shared" si="4"/>
        <v>5</v>
      </c>
      <c r="G21" s="112">
        <f t="shared" si="5"/>
        <v>171.39999998300001</v>
      </c>
      <c r="L21" s="108">
        <f>INDEX(Starter!A:A,ROW()-1)</f>
        <v>7283</v>
      </c>
      <c r="M21" s="108">
        <f>SUMIF(Erfassung5!BD:BD,L21,Erfassung5!BS:BS)</f>
        <v>1042</v>
      </c>
      <c r="N21" s="108">
        <f>SUMIF(Erfassung5!BD:BD,L21,Erfassung5!BG:BG)</f>
        <v>5</v>
      </c>
      <c r="O21" s="108">
        <f t="shared" si="0"/>
        <v>208.399999979</v>
      </c>
      <c r="P21" s="108">
        <f t="shared" si="1"/>
        <v>1</v>
      </c>
    </row>
    <row r="22" spans="1:16" x14ac:dyDescent="0.2">
      <c r="A22" s="108">
        <f t="shared" si="6"/>
        <v>18</v>
      </c>
      <c r="B22" s="108">
        <f t="shared" si="2"/>
        <v>25944</v>
      </c>
      <c r="C22" s="108" t="str">
        <f>IFERROR(INDEX(Starter!B:B,MATCH(B22,Starter!A:A,0)),"")</f>
        <v>Kohl, Oswald</v>
      </c>
      <c r="D22" s="108" t="str">
        <f>IFERROR(INDEX(Starter!C:C,MATCH(B22,Starter!A:A,0)),"")</f>
        <v>BC Adler Nürnberg</v>
      </c>
      <c r="E22" s="117">
        <f t="shared" si="3"/>
        <v>845</v>
      </c>
      <c r="F22" s="108">
        <f t="shared" si="4"/>
        <v>5</v>
      </c>
      <c r="G22" s="112">
        <f t="shared" si="5"/>
        <v>168.99999995900001</v>
      </c>
      <c r="L22" s="108">
        <f>INDEX(Starter!A:A,ROW()-1)</f>
        <v>38046</v>
      </c>
      <c r="M22" s="108">
        <f>SUMIF(Erfassung5!BD:BD,L22,Erfassung5!BS:BS)</f>
        <v>964</v>
      </c>
      <c r="N22" s="108">
        <f>SUMIF(Erfassung5!BD:BD,L22,Erfassung5!BG:BG)</f>
        <v>5</v>
      </c>
      <c r="O22" s="108">
        <f t="shared" si="0"/>
        <v>192.79999997800002</v>
      </c>
      <c r="P22" s="108">
        <f t="shared" si="1"/>
        <v>2</v>
      </c>
    </row>
    <row r="23" spans="1:16" x14ac:dyDescent="0.2">
      <c r="A23" s="108">
        <f t="shared" si="6"/>
        <v>19</v>
      </c>
      <c r="B23" s="108">
        <f t="shared" si="2"/>
        <v>7586</v>
      </c>
      <c r="C23" s="108" t="str">
        <f>IFERROR(INDEX(Starter!B:B,MATCH(B23,Starter!A:A,0)),"")</f>
        <v>Eichner, Karl</v>
      </c>
      <c r="D23" s="108" t="str">
        <f>IFERROR(INDEX(Starter!C:C,MATCH(B23,Starter!A:A,0)),"")</f>
        <v>Kings Club Bayreuth</v>
      </c>
      <c r="E23" s="117">
        <f t="shared" si="3"/>
        <v>840</v>
      </c>
      <c r="F23" s="108">
        <f t="shared" si="4"/>
        <v>5</v>
      </c>
      <c r="G23" s="112">
        <f t="shared" si="5"/>
        <v>167.999999992</v>
      </c>
      <c r="L23" s="108">
        <f>INDEX(Starter!A:A,ROW()-1)</f>
        <v>38571</v>
      </c>
      <c r="M23" s="108">
        <f>SUMIF(Erfassung5!BD:BD,L23,Erfassung5!BS:BS)</f>
        <v>930</v>
      </c>
      <c r="N23" s="108">
        <f>SUMIF(Erfassung5!BD:BD,L23,Erfassung5!BG:BG)</f>
        <v>5</v>
      </c>
      <c r="O23" s="108">
        <f t="shared" si="0"/>
        <v>185.99999997699999</v>
      </c>
      <c r="P23" s="108">
        <f t="shared" si="1"/>
        <v>6</v>
      </c>
    </row>
    <row r="24" spans="1:16" x14ac:dyDescent="0.2">
      <c r="A24" s="108">
        <f t="shared" si="6"/>
        <v>20</v>
      </c>
      <c r="B24" s="108">
        <f t="shared" si="2"/>
        <v>25479</v>
      </c>
      <c r="C24" s="108" t="str">
        <f>IFERROR(INDEX(Starter!B:B,MATCH(B24,Starter!A:A,0)),"")</f>
        <v>Theisen, Alexander</v>
      </c>
      <c r="D24" s="108" t="str">
        <f>IFERROR(INDEX(Starter!C:C,MATCH(B24,Starter!A:A,0)),"")</f>
        <v>Kings Club Bayreuth</v>
      </c>
      <c r="E24" s="117">
        <f t="shared" si="3"/>
        <v>802</v>
      </c>
      <c r="F24" s="108">
        <f t="shared" si="4"/>
        <v>5</v>
      </c>
      <c r="G24" s="112">
        <f t="shared" si="5"/>
        <v>160.39999999600002</v>
      </c>
      <c r="L24" s="108">
        <f>INDEX(Starter!A:A,ROW()-1)</f>
        <v>38870</v>
      </c>
      <c r="M24" s="108">
        <f>SUMIF(Erfassung5!BD:BD,L24,Erfassung5!BS:BS)</f>
        <v>927</v>
      </c>
      <c r="N24" s="108">
        <f>SUMIF(Erfassung5!BD:BD,L24,Erfassung5!BG:BG)</f>
        <v>5</v>
      </c>
      <c r="O24" s="108">
        <f t="shared" si="0"/>
        <v>185.399999976</v>
      </c>
      <c r="P24" s="108">
        <f t="shared" si="1"/>
        <v>7</v>
      </c>
    </row>
    <row r="25" spans="1:16" x14ac:dyDescent="0.2">
      <c r="A25" s="108">
        <f t="shared" si="6"/>
        <v>21</v>
      </c>
      <c r="B25" s="108">
        <f t="shared" si="2"/>
        <v>38661</v>
      </c>
      <c r="C25" s="108" t="str">
        <f>IFERROR(INDEX(Starter!B:B,MATCH(B25,Starter!A:A,0)),"")</f>
        <v>Katholing, Jürgen</v>
      </c>
      <c r="D25" s="108" t="str">
        <f>IFERROR(INDEX(Starter!C:C,MATCH(B25,Starter!A:A,0)),"")</f>
        <v>Kings Club Bayreuth</v>
      </c>
      <c r="E25" s="117">
        <f t="shared" si="3"/>
        <v>799</v>
      </c>
      <c r="F25" s="108">
        <f t="shared" si="4"/>
        <v>5</v>
      </c>
      <c r="G25" s="112">
        <f t="shared" si="5"/>
        <v>159.79999998600002</v>
      </c>
      <c r="L25" s="108">
        <f>INDEX(Starter!A:A,ROW()-1)</f>
        <v>7809</v>
      </c>
      <c r="M25" s="108">
        <f>SUMIF(Erfassung5!BD:BD,L25,Erfassung5!BS:BS)</f>
        <v>0</v>
      </c>
      <c r="N25" s="108">
        <f>SUMIF(Erfassung5!BD:BD,L25,Erfassung5!BG:BG)</f>
        <v>0</v>
      </c>
      <c r="O25" s="108">
        <f t="shared" si="0"/>
        <v>0</v>
      </c>
      <c r="P25" s="108">
        <f t="shared" si="1"/>
        <v>26</v>
      </c>
    </row>
    <row r="26" spans="1:16" x14ac:dyDescent="0.2">
      <c r="A26" s="108">
        <f t="shared" si="6"/>
        <v>22</v>
      </c>
      <c r="B26" s="108">
        <f t="shared" si="2"/>
        <v>7849</v>
      </c>
      <c r="C26" s="108" t="str">
        <f>IFERROR(INDEX(Starter!B:B,MATCH(B26,Starter!A:A,0)),"")</f>
        <v>Stibel, Blasius</v>
      </c>
      <c r="D26" s="108" t="str">
        <f>IFERROR(INDEX(Starter!C:C,MATCH(B26,Starter!A:A,0)),"")</f>
        <v>BC Castra Regina Regensburg</v>
      </c>
      <c r="E26" s="117">
        <f t="shared" si="3"/>
        <v>778</v>
      </c>
      <c r="F26" s="108">
        <f t="shared" si="4"/>
        <v>5</v>
      </c>
      <c r="G26" s="112">
        <f t="shared" si="5"/>
        <v>155.59999996899998</v>
      </c>
      <c r="L26" s="108">
        <f>INDEX(Starter!A:A,ROW()-1)</f>
        <v>7814</v>
      </c>
      <c r="M26" s="108">
        <f>SUMIF(Erfassung5!BD:BD,L26,Erfassung5!BS:BS)</f>
        <v>0</v>
      </c>
      <c r="N26" s="108">
        <f>SUMIF(Erfassung5!BD:BD,L26,Erfassung5!BG:BG)</f>
        <v>0</v>
      </c>
      <c r="O26" s="108">
        <f t="shared" si="0"/>
        <v>0</v>
      </c>
      <c r="P26" s="108">
        <f t="shared" si="1"/>
        <v>26</v>
      </c>
    </row>
    <row r="27" spans="1:16" x14ac:dyDescent="0.2">
      <c r="A27" s="108">
        <f t="shared" si="6"/>
        <v>23</v>
      </c>
      <c r="B27" s="108">
        <f t="shared" si="2"/>
        <v>7123</v>
      </c>
      <c r="C27" s="108" t="str">
        <f>IFERROR(INDEX(Starter!B:B,MATCH(B27,Starter!A:A,0)),"")</f>
        <v>Reichert, Roland</v>
      </c>
      <c r="D27" s="108" t="str">
        <f>IFERROR(INDEX(Starter!C:C,MATCH(B27,Starter!A:A,0)),"")</f>
        <v>Kings Club Bayreuth</v>
      </c>
      <c r="E27" s="117">
        <f t="shared" si="3"/>
        <v>777</v>
      </c>
      <c r="F27" s="108">
        <f t="shared" si="4"/>
        <v>5</v>
      </c>
      <c r="G27" s="112">
        <f t="shared" si="5"/>
        <v>155.39999999700001</v>
      </c>
      <c r="L27" s="108">
        <f>INDEX(Starter!A:A,ROW()-1)</f>
        <v>7813</v>
      </c>
      <c r="M27" s="108">
        <f>SUMIF(Erfassung5!BD:BD,L27,Erfassung5!BS:BS)</f>
        <v>0</v>
      </c>
      <c r="N27" s="108">
        <f>SUMIF(Erfassung5!BD:BD,L27,Erfassung5!BG:BG)</f>
        <v>0</v>
      </c>
      <c r="O27" s="108">
        <f t="shared" si="0"/>
        <v>0</v>
      </c>
      <c r="P27" s="108">
        <f t="shared" si="1"/>
        <v>26</v>
      </c>
    </row>
    <row r="28" spans="1:16" x14ac:dyDescent="0.2">
      <c r="A28" s="108">
        <f t="shared" si="6"/>
        <v>24</v>
      </c>
      <c r="B28" s="108">
        <f t="shared" si="2"/>
        <v>7761</v>
      </c>
      <c r="C28" s="108" t="str">
        <f>IFERROR(INDEX(Starter!B:B,MATCH(B28,Starter!A:A,0)),"")</f>
        <v>Schmitt, Peter</v>
      </c>
      <c r="D28" s="108" t="str">
        <f>IFERROR(INDEX(Starter!C:C,MATCH(B28,Starter!A:A,0)),"")</f>
        <v>BC Adler Nürnberg</v>
      </c>
      <c r="E28" s="117">
        <f t="shared" si="3"/>
        <v>769</v>
      </c>
      <c r="F28" s="108">
        <f t="shared" si="4"/>
        <v>5</v>
      </c>
      <c r="G28" s="112">
        <f t="shared" si="5"/>
        <v>153.79999996200002</v>
      </c>
      <c r="L28" s="108">
        <f>INDEX(Starter!A:A,ROW()-1)</f>
        <v>7730</v>
      </c>
      <c r="M28" s="108">
        <f>SUMIF(Erfassung5!BD:BD,L28,Erfassung5!BS:BS)</f>
        <v>0</v>
      </c>
      <c r="N28" s="108">
        <f>SUMIF(Erfassung5!BD:BD,L28,Erfassung5!BG:BG)</f>
        <v>0</v>
      </c>
      <c r="O28" s="108">
        <f t="shared" si="0"/>
        <v>0</v>
      </c>
      <c r="P28" s="108">
        <f t="shared" si="1"/>
        <v>26</v>
      </c>
    </row>
    <row r="29" spans="1:16" x14ac:dyDescent="0.2">
      <c r="A29" s="108">
        <f t="shared" si="6"/>
        <v>25</v>
      </c>
      <c r="B29" s="108">
        <f t="shared" si="2"/>
        <v>38869</v>
      </c>
      <c r="C29" s="108" t="str">
        <f>IFERROR(INDEX(Starter!B:B,MATCH(B29,Starter!A:A,0)),"")</f>
        <v>Simon, Diana</v>
      </c>
      <c r="D29" s="108" t="str">
        <f>IFERROR(INDEX(Starter!C:C,MATCH(B29,Starter!A:A,0)),"")</f>
        <v>BC Castra Regina Regensburg</v>
      </c>
      <c r="E29" s="117">
        <f t="shared" si="3"/>
        <v>753</v>
      </c>
      <c r="F29" s="108">
        <f t="shared" si="4"/>
        <v>5</v>
      </c>
      <c r="G29" s="112">
        <f t="shared" si="5"/>
        <v>150.59999996799999</v>
      </c>
      <c r="L29" s="108">
        <f>INDEX(Starter!A:A,ROW()-1)</f>
        <v>25130</v>
      </c>
      <c r="M29" s="108">
        <f>SUMIF(Erfassung5!BD:BD,L29,Erfassung5!BS:BS)</f>
        <v>909</v>
      </c>
      <c r="N29" s="108">
        <f>SUMIF(Erfassung5!BD:BD,L29,Erfassung5!BG:BG)</f>
        <v>5</v>
      </c>
      <c r="O29" s="108">
        <f t="shared" si="0"/>
        <v>181.79999997100001</v>
      </c>
      <c r="P29" s="108">
        <f t="shared" si="1"/>
        <v>9</v>
      </c>
    </row>
    <row r="30" spans="1:16" x14ac:dyDescent="0.2">
      <c r="A30" s="108" t="str">
        <f t="shared" si="6"/>
        <v/>
      </c>
      <c r="B30" s="108" t="str">
        <f t="shared" si="2"/>
        <v/>
      </c>
      <c r="C30" s="108" t="str">
        <f>IFERROR(INDEX(Starter!B:B,MATCH(B30,Starter!A:A,0)),"")</f>
        <v/>
      </c>
      <c r="D30" s="108" t="str">
        <f>IFERROR(INDEX(Starter!C:C,MATCH(B30,Starter!A:A,0)),"")</f>
        <v/>
      </c>
      <c r="E30" s="117" t="str">
        <f t="shared" si="3"/>
        <v/>
      </c>
      <c r="F30" s="108" t="str">
        <f t="shared" si="4"/>
        <v/>
      </c>
      <c r="G30" s="112" t="str">
        <f t="shared" si="5"/>
        <v/>
      </c>
      <c r="L30" s="108">
        <f>INDEX(Starter!A:A,ROW()-1)</f>
        <v>7854</v>
      </c>
      <c r="M30" s="108">
        <f>SUMIF(Erfassung5!BD:BD,L30,Erfassung5!BS:BS)</f>
        <v>0</v>
      </c>
      <c r="N30" s="108">
        <f>SUMIF(Erfassung5!BD:BD,L30,Erfassung5!BG:BG)</f>
        <v>0</v>
      </c>
      <c r="O30" s="108">
        <f t="shared" si="0"/>
        <v>0</v>
      </c>
      <c r="P30" s="108">
        <f t="shared" si="1"/>
        <v>26</v>
      </c>
    </row>
    <row r="31" spans="1:16" x14ac:dyDescent="0.2">
      <c r="A31" s="108" t="str">
        <f t="shared" si="6"/>
        <v/>
      </c>
      <c r="B31" s="108" t="str">
        <f t="shared" si="2"/>
        <v/>
      </c>
      <c r="C31" s="108" t="str">
        <f>IFERROR(INDEX(Starter!B:B,MATCH(B31,Starter!A:A,0)),"")</f>
        <v/>
      </c>
      <c r="D31" s="108" t="str">
        <f>IFERROR(INDEX(Starter!C:C,MATCH(B31,Starter!A:A,0)),"")</f>
        <v/>
      </c>
      <c r="E31" s="117" t="str">
        <f t="shared" si="3"/>
        <v/>
      </c>
      <c r="F31" s="108" t="str">
        <f t="shared" si="4"/>
        <v/>
      </c>
      <c r="G31" s="112" t="str">
        <f t="shared" si="5"/>
        <v/>
      </c>
      <c r="L31" s="108">
        <f>INDEX(Starter!A:A,ROW()-1)</f>
        <v>7849</v>
      </c>
      <c r="M31" s="108">
        <f>SUMIF(Erfassung5!BD:BD,L31,Erfassung5!BS:BS)</f>
        <v>778</v>
      </c>
      <c r="N31" s="108">
        <f>SUMIF(Erfassung5!BD:BD,L31,Erfassung5!BG:BG)</f>
        <v>5</v>
      </c>
      <c r="O31" s="108">
        <f t="shared" si="0"/>
        <v>155.59999996899998</v>
      </c>
      <c r="P31" s="108">
        <f t="shared" si="1"/>
        <v>22</v>
      </c>
    </row>
    <row r="32" spans="1:16" x14ac:dyDescent="0.2">
      <c r="A32" s="108" t="str">
        <f t="shared" si="6"/>
        <v/>
      </c>
      <c r="B32" s="108" t="str">
        <f t="shared" si="2"/>
        <v/>
      </c>
      <c r="C32" s="108" t="str">
        <f>IFERROR(INDEX(Starter!B:B,MATCH(B32,Starter!A:A,0)),"")</f>
        <v/>
      </c>
      <c r="D32" s="108" t="str">
        <f>IFERROR(INDEX(Starter!C:C,MATCH(B32,Starter!A:A,0)),"")</f>
        <v/>
      </c>
      <c r="E32" s="117" t="str">
        <f t="shared" si="3"/>
        <v/>
      </c>
      <c r="F32" s="108" t="str">
        <f t="shared" si="4"/>
        <v/>
      </c>
      <c r="G32" s="112" t="str">
        <f t="shared" si="5"/>
        <v/>
      </c>
      <c r="L32" s="108">
        <f>INDEX(Starter!A:A,ROW()-1)</f>
        <v>38869</v>
      </c>
      <c r="M32" s="108">
        <f>SUMIF(Erfassung5!BD:BD,L32,Erfassung5!BS:BS)</f>
        <v>753</v>
      </c>
      <c r="N32" s="108">
        <f>SUMIF(Erfassung5!BD:BD,L32,Erfassung5!BG:BG)</f>
        <v>5</v>
      </c>
      <c r="O32" s="108">
        <f t="shared" si="0"/>
        <v>150.59999996799999</v>
      </c>
      <c r="P32" s="108">
        <f t="shared" si="1"/>
        <v>25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SUMIF(Erfassung5!BD:BD,L33,Erfassung5!BS:BS)</f>
        <v>940</v>
      </c>
      <c r="N33" s="108">
        <f>SUMIF(Erfassung5!BD:BD,L33,Erfassung5!BG:BG)</f>
        <v>5</v>
      </c>
      <c r="O33" s="108">
        <f t="shared" si="0"/>
        <v>187.99999996700001</v>
      </c>
      <c r="P33" s="108">
        <f t="shared" si="1"/>
        <v>4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SUMIF(Erfassung5!BD:BD,L34,Erfassung5!BS:BS)</f>
        <v>0</v>
      </c>
      <c r="N34" s="108">
        <f>SUMIF(Erfassung5!BD:BD,L34,Erfassung5!BG:BG)</f>
        <v>0</v>
      </c>
      <c r="O34" s="108">
        <f t="shared" si="0"/>
        <v>0</v>
      </c>
      <c r="P34" s="108">
        <f t="shared" si="1"/>
        <v>26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SUMIF(Erfassung5!BD:BD,L35,Erfassung5!BS:BS)</f>
        <v>858</v>
      </c>
      <c r="N35" s="108">
        <f>SUMIF(Erfassung5!BD:BD,L35,Erfassung5!BG:BG)</f>
        <v>5</v>
      </c>
      <c r="O35" s="108">
        <f t="shared" si="0"/>
        <v>171.59999996499999</v>
      </c>
      <c r="P35" s="108">
        <f t="shared" si="1"/>
        <v>16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SUMIF(Erfassung5!BD:BD,L36,Erfassung5!BS:BS)</f>
        <v>0</v>
      </c>
      <c r="N36" s="108">
        <f>SUMIF(Erfassung5!BD:BD,L36,Erfassung5!BG:BG)</f>
        <v>0</v>
      </c>
      <c r="O36" s="108">
        <f t="shared" si="0"/>
        <v>0</v>
      </c>
      <c r="P36" s="108">
        <f t="shared" si="1"/>
        <v>26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SUMIF(Erfassung5!BD:BD,L37,Erfassung5!BS:BS)</f>
        <v>0</v>
      </c>
      <c r="N37" s="108">
        <f>SUMIF(Erfassung5!BD:BD,L37,Erfassung5!BG:BG)</f>
        <v>0</v>
      </c>
      <c r="O37" s="108">
        <f t="shared" si="0"/>
        <v>0</v>
      </c>
      <c r="P37" s="108">
        <f t="shared" si="1"/>
        <v>26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SUMIF(Erfassung5!BD:BD,L38,Erfassung5!BS:BS)</f>
        <v>769</v>
      </c>
      <c r="N38" s="108">
        <f>SUMIF(Erfassung5!BD:BD,L38,Erfassung5!BG:BG)</f>
        <v>5</v>
      </c>
      <c r="O38" s="108">
        <f t="shared" si="0"/>
        <v>153.79999996200002</v>
      </c>
      <c r="P38" s="108">
        <f t="shared" si="1"/>
        <v>24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SUMIF(Erfassung5!BD:BD,L39,Erfassung5!BS:BS)</f>
        <v>0</v>
      </c>
      <c r="N39" s="108">
        <f>SUMIF(Erfassung5!BD:BD,L39,Erfassung5!BG:BG)</f>
        <v>0</v>
      </c>
      <c r="O39" s="108">
        <f t="shared" si="0"/>
        <v>0</v>
      </c>
      <c r="P39" s="108">
        <f t="shared" si="1"/>
        <v>26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SUMIF(Erfassung5!BD:BD,L40,Erfassung5!BS:BS)</f>
        <v>883</v>
      </c>
      <c r="N40" s="108">
        <f>SUMIF(Erfassung5!BD:BD,L40,Erfassung5!BG:BG)</f>
        <v>5</v>
      </c>
      <c r="O40" s="108">
        <f t="shared" si="0"/>
        <v>176.59999995999999</v>
      </c>
      <c r="P40" s="108">
        <f t="shared" si="1"/>
        <v>12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SUMIF(Erfassung5!BD:BD,L41,Erfassung5!BS:BS)</f>
        <v>845</v>
      </c>
      <c r="N41" s="108">
        <f>SUMIF(Erfassung5!BD:BD,L41,Erfassung5!BG:BG)</f>
        <v>5</v>
      </c>
      <c r="O41" s="108">
        <f t="shared" si="0"/>
        <v>168.99999995900001</v>
      </c>
      <c r="P41" s="108">
        <f t="shared" si="1"/>
        <v>18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SUMIF(Erfassung5!BD:BD,L42,Erfassung5!BS:BS)</f>
        <v>870</v>
      </c>
      <c r="N42" s="108">
        <f>SUMIF(Erfassung5!BD:BD,L42,Erfassung5!BG:BG)</f>
        <v>5</v>
      </c>
      <c r="O42" s="108">
        <f t="shared" si="0"/>
        <v>173.99999995799999</v>
      </c>
      <c r="P42" s="108">
        <f t="shared" si="1"/>
        <v>14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SUMIF(Erfassung5!BD:BD,L43,Erfassung5!BS:BS)</f>
        <v>938</v>
      </c>
      <c r="N43" s="108">
        <f>SUMIF(Erfassung5!BD:BD,L43,Erfassung5!BG:BG)</f>
        <v>5</v>
      </c>
      <c r="O43" s="108">
        <f t="shared" si="0"/>
        <v>187.59999995699999</v>
      </c>
      <c r="P43" s="108">
        <f t="shared" si="1"/>
        <v>5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SUMIF(Erfassung5!BD:BD,L44,Erfassung5!BS:BS)</f>
        <v>0</v>
      </c>
      <c r="N44" s="108">
        <f>SUMIF(Erfassung5!BD:BD,L44,Erfassung5!BG:BG)</f>
        <v>0</v>
      </c>
      <c r="O44" s="108">
        <f t="shared" si="0"/>
        <v>0</v>
      </c>
      <c r="P44" s="108">
        <f t="shared" si="1"/>
        <v>26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SUMIF(Erfassung5!BD:BD,L45,Erfassung5!BS:BS)</f>
        <v>960</v>
      </c>
      <c r="N45" s="108">
        <f>SUMIF(Erfassung5!BD:BD,L45,Erfassung5!BG:BG)</f>
        <v>5</v>
      </c>
      <c r="O45" s="108">
        <f t="shared" si="0"/>
        <v>191.99999995499999</v>
      </c>
      <c r="P45" s="108">
        <f t="shared" si="1"/>
        <v>3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SUMIF(Erfassung5!BD:BD,L46,Erfassung5!BS:BS)</f>
        <v>0</v>
      </c>
      <c r="N46" s="108">
        <f>SUMIF(Erfassung5!BD:BD,L46,Erfassung5!BG:BG)</f>
        <v>0</v>
      </c>
      <c r="O46" s="108">
        <f t="shared" si="0"/>
        <v>0</v>
      </c>
      <c r="P46" s="108">
        <f t="shared" si="1"/>
        <v>26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SUMIF(Erfassung5!BD:BD,L47,Erfassung5!BS:BS)</f>
        <v>0</v>
      </c>
      <c r="N47" s="108">
        <f>SUMIF(Erfassung5!BD:BD,L47,Erfassung5!BG:BG)</f>
        <v>0</v>
      </c>
      <c r="O47" s="108">
        <f t="shared" si="0"/>
        <v>0</v>
      </c>
      <c r="P47" s="108">
        <f t="shared" si="1"/>
        <v>26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SUMIF(Erfassung5!BD:BD,L48,Erfassung5!BS:BS)</f>
        <v>0</v>
      </c>
      <c r="N48" s="108">
        <f>SUMIF(Erfassung5!BD:BD,L48,Erfassung5!BG:BG)</f>
        <v>0</v>
      </c>
      <c r="O48" s="108">
        <f t="shared" si="0"/>
        <v>0</v>
      </c>
      <c r="P48" s="108">
        <f t="shared" si="1"/>
        <v>26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SUMIF(Erfassung5!BD:BD,L49,Erfassung5!BS:BS)</f>
        <v>0</v>
      </c>
      <c r="N49" s="108">
        <f>SUMIF(Erfassung5!BD:BD,L49,Erfassung5!BG:BG)</f>
        <v>0</v>
      </c>
      <c r="O49" s="108">
        <f t="shared" si="0"/>
        <v>0</v>
      </c>
      <c r="P49" s="108">
        <f t="shared" si="1"/>
        <v>26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SUMIF(Erfassung5!BD:BD,L50,Erfassung5!BS:BS)</f>
        <v>0</v>
      </c>
      <c r="N50" s="108">
        <f>SUMIF(Erfassung5!BD:BD,L50,Erfassung5!BG:BG)</f>
        <v>0</v>
      </c>
      <c r="O50" s="108">
        <f t="shared" si="0"/>
        <v>0</v>
      </c>
      <c r="P50" s="108">
        <f t="shared" si="1"/>
        <v>26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SUMIF(Erfassung5!BD:BD,L51,Erfassung5!BS:BS)</f>
        <v>0</v>
      </c>
      <c r="N51" s="108">
        <f>SUMIF(Erfassung5!BD:BD,L51,Erfassung5!BG:BG)</f>
        <v>0</v>
      </c>
      <c r="O51" s="108">
        <f t="shared" si="0"/>
        <v>0</v>
      </c>
      <c r="P51" s="108">
        <f t="shared" si="1"/>
        <v>26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SUMIF(Erfassung5!BD:BD,L52,Erfassung5!BS:BS)</f>
        <v>0</v>
      </c>
      <c r="N52" s="108">
        <f>SUMIF(Erfassung5!BD:BD,L52,Erfassung5!BG:BG)</f>
        <v>0</v>
      </c>
      <c r="O52" s="108">
        <f t="shared" si="0"/>
        <v>0</v>
      </c>
      <c r="P52" s="108">
        <f t="shared" si="1"/>
        <v>26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SUMIF(Erfassung5!BD:BD,L53,Erfassung5!BS:BS)</f>
        <v>0</v>
      </c>
      <c r="N53" s="108">
        <f>SUMIF(Erfassung5!BD:BD,L53,Erfassung5!BG:BG)</f>
        <v>0</v>
      </c>
      <c r="O53" s="108">
        <f t="shared" si="0"/>
        <v>0</v>
      </c>
      <c r="P53" s="108">
        <f t="shared" si="1"/>
        <v>26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SUMIF(Erfassung5!BD:BD,L54,Erfassung5!BS:BS)</f>
        <v>0</v>
      </c>
      <c r="N54" s="108">
        <f>SUMIF(Erfassung5!BD:BD,L54,Erfassung5!BG:BG)</f>
        <v>0</v>
      </c>
      <c r="O54" s="108">
        <f t="shared" si="0"/>
        <v>0</v>
      </c>
      <c r="P54" s="108">
        <f t="shared" si="1"/>
        <v>26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SUMIF(Erfassung5!BD:BD,L55,Erfassung5!BS:BS)</f>
        <v>0</v>
      </c>
      <c r="N55" s="108">
        <f>SUMIF(Erfassung5!BD:BD,L55,Erfassung5!BG:BG)</f>
        <v>0</v>
      </c>
      <c r="O55" s="108">
        <f t="shared" si="0"/>
        <v>0</v>
      </c>
      <c r="P55" s="108">
        <f t="shared" si="1"/>
        <v>26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SUMIF(Erfassung5!BD:BD,L56,Erfassung5!BS:BS)</f>
        <v>0</v>
      </c>
      <c r="N56" s="108">
        <f>SUMIF(Erfassung5!BD:BD,L56,Erfassung5!BG:BG)</f>
        <v>0</v>
      </c>
      <c r="O56" s="108">
        <f t="shared" si="0"/>
        <v>0</v>
      </c>
      <c r="P56" s="108">
        <f t="shared" si="1"/>
        <v>26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SUMIF(Erfassung5!BD:BD,L57,Erfassung5!BS:BS)</f>
        <v>0</v>
      </c>
      <c r="N57" s="108">
        <f>SUMIF(Erfassung5!BD:BD,L57,Erfassung5!BG:BG)</f>
        <v>0</v>
      </c>
      <c r="O57" s="108">
        <f t="shared" si="0"/>
        <v>0</v>
      </c>
      <c r="P57" s="108">
        <f t="shared" si="1"/>
        <v>26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SUMIF(Erfassung5!BD:BD,L58,Erfassung5!BS:BS)</f>
        <v>0</v>
      </c>
      <c r="N58" s="108">
        <f>SUMIF(Erfassung5!BD:BD,L58,Erfassung5!BG:BG)</f>
        <v>0</v>
      </c>
      <c r="O58" s="108">
        <f t="shared" si="0"/>
        <v>0</v>
      </c>
      <c r="P58" s="108">
        <f t="shared" si="1"/>
        <v>26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SUMIF(Erfassung5!BD:BD,L59,Erfassung5!BS:BS)</f>
        <v>0</v>
      </c>
      <c r="N59" s="108">
        <f>SUMIF(Erfassung5!BD:BD,L59,Erfassung5!BG:BG)</f>
        <v>0</v>
      </c>
      <c r="O59" s="108">
        <f t="shared" si="0"/>
        <v>0</v>
      </c>
      <c r="P59" s="108">
        <f t="shared" si="1"/>
        <v>26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SUMIF(Erfassung5!BD:BD,L60,Erfassung5!BS:BS)</f>
        <v>0</v>
      </c>
      <c r="N60" s="108">
        <f>SUMIF(Erfassung5!BD:BD,L60,Erfassung5!BG:BG)</f>
        <v>0</v>
      </c>
      <c r="O60" s="108">
        <f t="shared" si="0"/>
        <v>0</v>
      </c>
      <c r="P60" s="108">
        <f t="shared" si="1"/>
        <v>26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SUMIF(Erfassung5!BD:BD,L61,Erfassung5!BS:BS)</f>
        <v>0</v>
      </c>
      <c r="N61" s="108">
        <f>SUMIF(Erfassung5!BD:BD,L61,Erfassung5!BG:BG)</f>
        <v>0</v>
      </c>
      <c r="O61" s="108">
        <f t="shared" si="0"/>
        <v>0</v>
      </c>
      <c r="P61" s="108">
        <f t="shared" si="1"/>
        <v>26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SUMIF(Erfassung5!BD:BD,L62,Erfassung5!BS:BS)</f>
        <v>0</v>
      </c>
      <c r="N62" s="108">
        <f>SUMIF(Erfassung5!BD:BD,L62,Erfassung5!BG:BG)</f>
        <v>0</v>
      </c>
      <c r="O62" s="108">
        <f t="shared" si="0"/>
        <v>0</v>
      </c>
      <c r="P62" s="108">
        <f t="shared" si="1"/>
        <v>26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SUMIF(Erfassung5!BD:BD,L63,Erfassung5!BS:BS)</f>
        <v>0</v>
      </c>
      <c r="N63" s="108">
        <f>SUMIF(Erfassung5!BD:BD,L63,Erfassung5!BG:BG)</f>
        <v>0</v>
      </c>
      <c r="O63" s="108">
        <f t="shared" si="0"/>
        <v>0</v>
      </c>
      <c r="P63" s="108">
        <f t="shared" si="1"/>
        <v>26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SUMIF(Erfassung5!BD:BD,L64,Erfassung5!BS:BS)</f>
        <v>0</v>
      </c>
      <c r="N64" s="108">
        <f>SUMIF(Erfassung5!BD:BD,L64,Erfassung5!BG:BG)</f>
        <v>0</v>
      </c>
      <c r="O64" s="108">
        <f t="shared" si="0"/>
        <v>0</v>
      </c>
      <c r="P64" s="108">
        <f t="shared" si="1"/>
        <v>26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SUMIF(Erfassung5!BD:BD,L65,Erfassung5!BS:BS)</f>
        <v>0</v>
      </c>
      <c r="N65" s="108">
        <f>SUMIF(Erfassung5!BD:BD,L65,Erfassung5!BG:BG)</f>
        <v>0</v>
      </c>
      <c r="O65" s="108">
        <f t="shared" si="0"/>
        <v>0</v>
      </c>
      <c r="P65" s="108">
        <f t="shared" si="1"/>
        <v>26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SUMIF(Erfassung5!BD:BD,L66,Erfassung5!BS:BS)</f>
        <v>0</v>
      </c>
      <c r="N66" s="108">
        <f>SUMIF(Erfassung5!BD:BD,L66,Erfassung5!BG:BG)</f>
        <v>0</v>
      </c>
      <c r="O66" s="108">
        <f t="shared" ref="O66:O104" si="7">IF(N66=0,0,M66/N66-ROW()/1000000000)</f>
        <v>0</v>
      </c>
      <c r="P66" s="108">
        <f t="shared" ref="P66:P104" si="8">RANK(O66,O:O)</f>
        <v>26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SUMIF(Erfassung5!BD:BD,L67,Erfassung5!BS:BS)</f>
        <v>0</v>
      </c>
      <c r="N67" s="108">
        <f>SUMIF(Erfassung5!BD:BD,L67,Erfassung5!BG:BG)</f>
        <v>0</v>
      </c>
      <c r="O67" s="108">
        <f t="shared" si="7"/>
        <v>0</v>
      </c>
      <c r="P67" s="108">
        <f t="shared" si="8"/>
        <v>26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SUMIF(Erfassung5!BD:BD,L68,Erfassung5!BS:BS)</f>
        <v>0</v>
      </c>
      <c r="N68" s="108">
        <f>SUMIF(Erfassung5!BD:BD,L68,Erfassung5!BG:BG)</f>
        <v>0</v>
      </c>
      <c r="O68" s="108">
        <f t="shared" si="7"/>
        <v>0</v>
      </c>
      <c r="P68" s="108">
        <f t="shared" si="8"/>
        <v>26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SUMIF(Erfassung5!BD:BD,L69,Erfassung5!BS:BS)</f>
        <v>0</v>
      </c>
      <c r="N69" s="108">
        <f>SUMIF(Erfassung5!BD:BD,L69,Erfassung5!BG:BG)</f>
        <v>0</v>
      </c>
      <c r="O69" s="108">
        <f t="shared" si="7"/>
        <v>0</v>
      </c>
      <c r="P69" s="108">
        <f t="shared" si="8"/>
        <v>26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SUMIF(Erfassung5!BD:BD,L70,Erfassung5!BS:BS)</f>
        <v>0</v>
      </c>
      <c r="N70" s="108">
        <f>SUMIF(Erfassung5!BD:BD,L70,Erfassung5!BG:BG)</f>
        <v>0</v>
      </c>
      <c r="O70" s="108">
        <f t="shared" si="7"/>
        <v>0</v>
      </c>
      <c r="P70" s="108">
        <f t="shared" si="8"/>
        <v>26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SUMIF(Erfassung5!BD:BD,L71,Erfassung5!BS:BS)</f>
        <v>0</v>
      </c>
      <c r="N71" s="108">
        <f>SUMIF(Erfassung5!BD:BD,L71,Erfassung5!BG:BG)</f>
        <v>0</v>
      </c>
      <c r="O71" s="108">
        <f t="shared" si="7"/>
        <v>0</v>
      </c>
      <c r="P71" s="108">
        <f t="shared" si="8"/>
        <v>26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SUMIF(Erfassung5!BD:BD,L72,Erfassung5!BS:BS)</f>
        <v>0</v>
      </c>
      <c r="N72" s="108">
        <f>SUMIF(Erfassung5!BD:BD,L72,Erfassung5!BG:BG)</f>
        <v>0</v>
      </c>
      <c r="O72" s="108">
        <f t="shared" si="7"/>
        <v>0</v>
      </c>
      <c r="P72" s="108">
        <f t="shared" si="8"/>
        <v>26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SUMIF(Erfassung5!BD:BD,L73,Erfassung5!BS:BS)</f>
        <v>0</v>
      </c>
      <c r="N73" s="108">
        <f>SUMIF(Erfassung5!BD:BD,L73,Erfassung5!BG:BG)</f>
        <v>0</v>
      </c>
      <c r="O73" s="108">
        <f t="shared" si="7"/>
        <v>0</v>
      </c>
      <c r="P73" s="108">
        <f t="shared" si="8"/>
        <v>26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SUMIF(Erfassung5!BD:BD,L74,Erfassung5!BS:BS)</f>
        <v>0</v>
      </c>
      <c r="N74" s="108">
        <f>SUMIF(Erfassung5!BD:BD,L74,Erfassung5!BG:BG)</f>
        <v>0</v>
      </c>
      <c r="O74" s="108">
        <f t="shared" si="7"/>
        <v>0</v>
      </c>
      <c r="P74" s="108">
        <f t="shared" si="8"/>
        <v>26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SUMIF(Erfassung5!BD:BD,L75,Erfassung5!BS:BS)</f>
        <v>0</v>
      </c>
      <c r="N75" s="108">
        <f>SUMIF(Erfassung5!BD:BD,L75,Erfassung5!BG:BG)</f>
        <v>0</v>
      </c>
      <c r="O75" s="108">
        <f t="shared" si="7"/>
        <v>0</v>
      </c>
      <c r="P75" s="108">
        <f t="shared" si="8"/>
        <v>26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SUMIF(Erfassung5!BD:BD,L76,Erfassung5!BS:BS)</f>
        <v>0</v>
      </c>
      <c r="N76" s="108">
        <f>SUMIF(Erfassung5!BD:BD,L76,Erfassung5!BG:BG)</f>
        <v>0</v>
      </c>
      <c r="O76" s="108">
        <f t="shared" si="7"/>
        <v>0</v>
      </c>
      <c r="P76" s="108">
        <f t="shared" si="8"/>
        <v>26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SUMIF(Erfassung5!BD:BD,L77,Erfassung5!BS:BS)</f>
        <v>0</v>
      </c>
      <c r="N77" s="108">
        <f>SUMIF(Erfassung5!BD:BD,L77,Erfassung5!BG:BG)</f>
        <v>0</v>
      </c>
      <c r="O77" s="108">
        <f t="shared" si="7"/>
        <v>0</v>
      </c>
      <c r="P77" s="108">
        <f t="shared" si="8"/>
        <v>26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SUMIF(Erfassung5!BD:BD,L78,Erfassung5!BS:BS)</f>
        <v>0</v>
      </c>
      <c r="N78" s="108">
        <f>SUMIF(Erfassung5!BD:BD,L78,Erfassung5!BG:BG)</f>
        <v>0</v>
      </c>
      <c r="O78" s="108">
        <f t="shared" si="7"/>
        <v>0</v>
      </c>
      <c r="P78" s="108">
        <f t="shared" si="8"/>
        <v>26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SUMIF(Erfassung5!BD:BD,L79,Erfassung5!BS:BS)</f>
        <v>0</v>
      </c>
      <c r="N79" s="108">
        <f>SUMIF(Erfassung5!BD:BD,L79,Erfassung5!BG:BG)</f>
        <v>0</v>
      </c>
      <c r="O79" s="108">
        <f t="shared" si="7"/>
        <v>0</v>
      </c>
      <c r="P79" s="108">
        <f t="shared" si="8"/>
        <v>26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SUMIF(Erfassung5!BD:BD,L80,Erfassung5!BS:BS)</f>
        <v>0</v>
      </c>
      <c r="N80" s="108">
        <f>SUMIF(Erfassung5!BD:BD,L80,Erfassung5!BG:BG)</f>
        <v>0</v>
      </c>
      <c r="O80" s="108">
        <f t="shared" si="7"/>
        <v>0</v>
      </c>
      <c r="P80" s="108">
        <f t="shared" si="8"/>
        <v>26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SUMIF(Erfassung5!BD:BD,L81,Erfassung5!BS:BS)</f>
        <v>0</v>
      </c>
      <c r="N81" s="108">
        <f>SUMIF(Erfassung5!BD:BD,L81,Erfassung5!BG:BG)</f>
        <v>0</v>
      </c>
      <c r="O81" s="108">
        <f t="shared" si="7"/>
        <v>0</v>
      </c>
      <c r="P81" s="108">
        <f t="shared" si="8"/>
        <v>26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SUMIF(Erfassung5!BD:BD,L82,Erfassung5!BS:BS)</f>
        <v>0</v>
      </c>
      <c r="N82" s="108">
        <f>SUMIF(Erfassung5!BD:BD,L82,Erfassung5!BG:BG)</f>
        <v>0</v>
      </c>
      <c r="O82" s="108">
        <f t="shared" si="7"/>
        <v>0</v>
      </c>
      <c r="P82" s="108">
        <f t="shared" si="8"/>
        <v>26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SUMIF(Erfassung5!BD:BD,L83,Erfassung5!BS:BS)</f>
        <v>0</v>
      </c>
      <c r="N83" s="108">
        <f>SUMIF(Erfassung5!BD:BD,L83,Erfassung5!BG:BG)</f>
        <v>0</v>
      </c>
      <c r="O83" s="108">
        <f t="shared" si="7"/>
        <v>0</v>
      </c>
      <c r="P83" s="108">
        <f t="shared" si="8"/>
        <v>26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SUMIF(Erfassung5!BD:BD,L84,Erfassung5!BS:BS)</f>
        <v>0</v>
      </c>
      <c r="N84" s="108">
        <f>SUMIF(Erfassung5!BD:BD,L84,Erfassung5!BG:BG)</f>
        <v>0</v>
      </c>
      <c r="O84" s="108">
        <f t="shared" si="7"/>
        <v>0</v>
      </c>
      <c r="P84" s="108">
        <f t="shared" si="8"/>
        <v>26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SUMIF(Erfassung5!BD:BD,L85,Erfassung5!BS:BS)</f>
        <v>0</v>
      </c>
      <c r="N85" s="108">
        <f>SUMIF(Erfassung5!BD:BD,L85,Erfassung5!BG:BG)</f>
        <v>0</v>
      </c>
      <c r="O85" s="108">
        <f t="shared" si="7"/>
        <v>0</v>
      </c>
      <c r="P85" s="108">
        <f t="shared" si="8"/>
        <v>26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SUMIF(Erfassung5!BD:BD,L86,Erfassung5!BS:BS)</f>
        <v>0</v>
      </c>
      <c r="N86" s="108">
        <f>SUMIF(Erfassung5!BD:BD,L86,Erfassung5!BG:BG)</f>
        <v>0</v>
      </c>
      <c r="O86" s="108">
        <f t="shared" si="7"/>
        <v>0</v>
      </c>
      <c r="P86" s="108">
        <f t="shared" si="8"/>
        <v>26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SUMIF(Erfassung5!BD:BD,L87,Erfassung5!BS:BS)</f>
        <v>0</v>
      </c>
      <c r="N87" s="108">
        <f>SUMIF(Erfassung5!BD:BD,L87,Erfassung5!BG:BG)</f>
        <v>0</v>
      </c>
      <c r="O87" s="108">
        <f t="shared" si="7"/>
        <v>0</v>
      </c>
      <c r="P87" s="108">
        <f t="shared" si="8"/>
        <v>26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SUMIF(Erfassung5!BD:BD,L88,Erfassung5!BS:BS)</f>
        <v>0</v>
      </c>
      <c r="N88" s="108">
        <f>SUMIF(Erfassung5!BD:BD,L88,Erfassung5!BG:BG)</f>
        <v>0</v>
      </c>
      <c r="O88" s="108">
        <f t="shared" si="7"/>
        <v>0</v>
      </c>
      <c r="P88" s="108">
        <f t="shared" si="8"/>
        <v>26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SUMIF(Erfassung5!BD:BD,L89,Erfassung5!BS:BS)</f>
        <v>0</v>
      </c>
      <c r="N89" s="108">
        <f>SUMIF(Erfassung5!BD:BD,L89,Erfassung5!BG:BG)</f>
        <v>0</v>
      </c>
      <c r="O89" s="108">
        <f t="shared" si="7"/>
        <v>0</v>
      </c>
      <c r="P89" s="108">
        <f t="shared" si="8"/>
        <v>26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SUMIF(Erfassung5!BD:BD,L90,Erfassung5!BS:BS)</f>
        <v>0</v>
      </c>
      <c r="N90" s="108">
        <f>SUMIF(Erfassung5!BD:BD,L90,Erfassung5!BG:BG)</f>
        <v>0</v>
      </c>
      <c r="O90" s="108">
        <f t="shared" si="7"/>
        <v>0</v>
      </c>
      <c r="P90" s="108">
        <f t="shared" si="8"/>
        <v>26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SUMIF(Erfassung5!BD:BD,L91,Erfassung5!BS:BS)</f>
        <v>0</v>
      </c>
      <c r="N91" s="108">
        <f>SUMIF(Erfassung5!BD:BD,L91,Erfassung5!BG:BG)</f>
        <v>0</v>
      </c>
      <c r="O91" s="108">
        <f t="shared" si="7"/>
        <v>0</v>
      </c>
      <c r="P91" s="108">
        <f t="shared" si="8"/>
        <v>26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SUMIF(Erfassung5!BD:BD,L92,Erfassung5!BS:BS)</f>
        <v>0</v>
      </c>
      <c r="N92" s="108">
        <f>SUMIF(Erfassung5!BD:BD,L92,Erfassung5!BG:BG)</f>
        <v>0</v>
      </c>
      <c r="O92" s="108">
        <f t="shared" si="7"/>
        <v>0</v>
      </c>
      <c r="P92" s="108">
        <f t="shared" si="8"/>
        <v>26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SUMIF(Erfassung5!BD:BD,L93,Erfassung5!BS:BS)</f>
        <v>0</v>
      </c>
      <c r="N93" s="108">
        <f>SUMIF(Erfassung5!BD:BD,L93,Erfassung5!BG:BG)</f>
        <v>0</v>
      </c>
      <c r="O93" s="108">
        <f t="shared" si="7"/>
        <v>0</v>
      </c>
      <c r="P93" s="108">
        <f t="shared" si="8"/>
        <v>26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SUMIF(Erfassung5!BD:BD,L94,Erfassung5!BS:BS)</f>
        <v>0</v>
      </c>
      <c r="N94" s="108">
        <f>SUMIF(Erfassung5!BD:BD,L94,Erfassung5!BG:BG)</f>
        <v>0</v>
      </c>
      <c r="O94" s="108">
        <f t="shared" si="7"/>
        <v>0</v>
      </c>
      <c r="P94" s="108">
        <f t="shared" si="8"/>
        <v>26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SUMIF(Erfassung5!BD:BD,L95,Erfassung5!BS:BS)</f>
        <v>0</v>
      </c>
      <c r="N95" s="108">
        <f>SUMIF(Erfassung5!BD:BD,L95,Erfassung5!BG:BG)</f>
        <v>0</v>
      </c>
      <c r="O95" s="108">
        <f t="shared" si="7"/>
        <v>0</v>
      </c>
      <c r="P95" s="108">
        <f t="shared" si="8"/>
        <v>26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SUMIF(Erfassung5!BD:BD,L96,Erfassung5!BS:BS)</f>
        <v>0</v>
      </c>
      <c r="N96" s="108">
        <f>SUMIF(Erfassung5!BD:BD,L96,Erfassung5!BG:BG)</f>
        <v>0</v>
      </c>
      <c r="O96" s="108">
        <f t="shared" si="7"/>
        <v>0</v>
      </c>
      <c r="P96" s="108">
        <f t="shared" si="8"/>
        <v>26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SUMIF(Erfassung5!BD:BD,L97,Erfassung5!BS:BS)</f>
        <v>0</v>
      </c>
      <c r="N97" s="108">
        <f>SUMIF(Erfassung5!BD:BD,L97,Erfassung5!BG:BG)</f>
        <v>0</v>
      </c>
      <c r="O97" s="108">
        <f t="shared" si="7"/>
        <v>0</v>
      </c>
      <c r="P97" s="108">
        <f t="shared" si="8"/>
        <v>26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SUMIF(Erfassung5!BD:BD,L98,Erfassung5!BS:BS)</f>
        <v>0</v>
      </c>
      <c r="N98" s="108">
        <f>SUMIF(Erfassung5!BD:BD,L98,Erfassung5!BG:BG)</f>
        <v>0</v>
      </c>
      <c r="O98" s="108">
        <f t="shared" si="7"/>
        <v>0</v>
      </c>
      <c r="P98" s="108">
        <f t="shared" si="8"/>
        <v>26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SUMIF(Erfassung5!BD:BD,L99,Erfassung5!BS:BS)</f>
        <v>0</v>
      </c>
      <c r="N99" s="108">
        <f>SUMIF(Erfassung5!BD:BD,L99,Erfassung5!BG:BG)</f>
        <v>0</v>
      </c>
      <c r="O99" s="108">
        <f t="shared" si="7"/>
        <v>0</v>
      </c>
      <c r="P99" s="108">
        <f t="shared" si="8"/>
        <v>26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SUMIF(Erfassung5!BD:BD,L100,Erfassung5!BS:BS)</f>
        <v>0</v>
      </c>
      <c r="N100" s="108">
        <f>SUMIF(Erfassung5!BD:BD,L100,Erfassung5!BG:BG)</f>
        <v>0</v>
      </c>
      <c r="O100" s="108">
        <f t="shared" si="7"/>
        <v>0</v>
      </c>
      <c r="P100" s="108">
        <f t="shared" si="8"/>
        <v>26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SUMIF(Erfassung5!BD:BD,L101,Erfassung5!BS:BS)</f>
        <v>0</v>
      </c>
      <c r="N101" s="108">
        <f>SUMIF(Erfassung5!BD:BD,L101,Erfassung5!BG:BG)</f>
        <v>0</v>
      </c>
      <c r="O101" s="108">
        <f t="shared" si="7"/>
        <v>0</v>
      </c>
      <c r="P101" s="108">
        <f t="shared" si="8"/>
        <v>26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SUMIF(Erfassung5!BD:BD,L102,Erfassung5!BS:BS)</f>
        <v>0</v>
      </c>
      <c r="N102" s="108">
        <f>SUMIF(Erfassung5!BD:BD,L102,Erfassung5!BG:BG)</f>
        <v>0</v>
      </c>
      <c r="O102" s="108">
        <f t="shared" si="7"/>
        <v>0</v>
      </c>
      <c r="P102" s="108">
        <f t="shared" si="8"/>
        <v>26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SUMIF(Erfassung5!BD:BD,L103,Erfassung5!BS:BS)</f>
        <v>0</v>
      </c>
      <c r="N103" s="108">
        <f>SUMIF(Erfassung5!BD:BD,L103,Erfassung5!BG:BG)</f>
        <v>0</v>
      </c>
      <c r="O103" s="108">
        <f t="shared" si="7"/>
        <v>0</v>
      </c>
      <c r="P103" s="108">
        <f t="shared" si="8"/>
        <v>26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SUMIF(Erfassung5!BD:BD,L104,Erfassung5!BS:BS)</f>
        <v>0</v>
      </c>
      <c r="N104" s="108">
        <f>SUMIF(Erfassung5!BD:BD,L104,Erfassung5!BG:BG)</f>
        <v>0</v>
      </c>
      <c r="O104" s="108">
        <f t="shared" si="7"/>
        <v>0</v>
      </c>
      <c r="P104" s="108">
        <f t="shared" si="8"/>
        <v>26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EAC5-FE4E-4E1A-97B1-C6F01113CEE9}">
  <sheetPr>
    <tabColor rgb="FF7030A0"/>
    <pageSetUpPr fitToPage="1"/>
  </sheetPr>
  <dimension ref="A1:P104"/>
  <sheetViews>
    <sheetView view="pageBreakPreview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92" customWidth="1"/>
    <col min="6" max="6" width="7.7109375" customWidth="1"/>
    <col min="7" max="7" width="7.7109375" style="169" customWidth="1"/>
    <col min="11" max="11" width="11.42578125" customWidth="1"/>
    <col min="12" max="12" width="11.42578125" style="108" hidden="1" customWidth="1"/>
    <col min="13" max="16" width="11.42578125" hidden="1" customWidth="1"/>
    <col min="17" max="20" width="11.42578125" customWidth="1"/>
  </cols>
  <sheetData>
    <row r="1" spans="1:16" ht="28.5" customHeight="1" x14ac:dyDescent="0.4">
      <c r="A1" s="87" t="s">
        <v>1785</v>
      </c>
      <c r="C1" s="160" t="str">
        <f>Schlüssel!$C$1</f>
        <v>Bezirksliga N1 Männer</v>
      </c>
      <c r="D1" s="161"/>
      <c r="E1" s="168"/>
      <c r="F1" s="161"/>
      <c r="L1" s="108" t="s">
        <v>1814</v>
      </c>
      <c r="M1" t="s">
        <v>1799</v>
      </c>
      <c r="N1" t="s">
        <v>1819</v>
      </c>
      <c r="O1" t="s">
        <v>1805</v>
      </c>
      <c r="P1" t="s">
        <v>1820</v>
      </c>
    </row>
    <row r="2" spans="1:16" ht="28.5" customHeight="1" x14ac:dyDescent="0.3">
      <c r="A2" s="170" t="s">
        <v>1784</v>
      </c>
      <c r="C2" s="28">
        <v>5</v>
      </c>
      <c r="D2" s="28" t="s">
        <v>1864</v>
      </c>
      <c r="E2" s="171"/>
      <c r="F2" s="172"/>
      <c r="L2" s="108">
        <f>INDEX(Starter!A:A,ROW()-1)</f>
        <v>7136</v>
      </c>
      <c r="M2">
        <f>INDEX(SchnittGes4!M:M,MATCH(L2,SchnittGes4!L:L,0))+INDEX(Schnitt5!M:M,MATCH(L2,Schnitt5!L:L,0))</f>
        <v>2621</v>
      </c>
      <c r="N2">
        <f>INDEX(SchnittGes4!N:N,MATCH(L2,SchnittGes4!L:L,0))+INDEX(Schnitt5!N:N,MATCH(L2,Schnitt5!L:L,0))</f>
        <v>15</v>
      </c>
      <c r="O2">
        <f t="shared" ref="O2:O33" si="0">IF(N2=0,0,M2/N2-ROW()/1000000000)</f>
        <v>174.73333333133331</v>
      </c>
      <c r="P2">
        <f t="shared" ref="P2:P33" si="1">RANK(O2,O:O)</f>
        <v>21</v>
      </c>
    </row>
    <row r="3" spans="1:16" x14ac:dyDescent="0.2">
      <c r="L3" s="108">
        <f>INDEX(Starter!A:A,ROW()-1)</f>
        <v>7123</v>
      </c>
      <c r="M3">
        <f>INDEX(SchnittGes4!M:M,MATCH(L3,SchnittGes4!L:L,0))+INDEX(Schnitt5!M:M,MATCH(L3,Schnitt5!L:L,0))</f>
        <v>3688</v>
      </c>
      <c r="N3">
        <f>INDEX(SchnittGes4!N:N,MATCH(L3,SchnittGes4!L:L,0))+INDEX(Schnitt5!N:N,MATCH(L3,Schnitt5!L:L,0))</f>
        <v>25</v>
      </c>
      <c r="O3">
        <f t="shared" si="0"/>
        <v>147.51999999700001</v>
      </c>
      <c r="P3">
        <f t="shared" si="1"/>
        <v>37</v>
      </c>
    </row>
    <row r="4" spans="1:16" x14ac:dyDescent="0.2">
      <c r="A4" s="128" t="s">
        <v>1822</v>
      </c>
      <c r="B4" s="128" t="s">
        <v>1814</v>
      </c>
      <c r="C4" t="s">
        <v>1797</v>
      </c>
      <c r="D4" t="s">
        <v>1823</v>
      </c>
      <c r="E4" s="173" t="s">
        <v>1799</v>
      </c>
      <c r="F4" s="128" t="s">
        <v>1819</v>
      </c>
      <c r="G4" s="174" t="s">
        <v>1805</v>
      </c>
      <c r="L4" s="108">
        <f>INDEX(Starter!A:A,ROW()-1)</f>
        <v>25479</v>
      </c>
      <c r="M4">
        <f>INDEX(SchnittGes4!M:M,MATCH(L4,SchnittGes4!L:L,0))+INDEX(Schnitt5!M:M,MATCH(L4,Schnitt5!L:L,0))</f>
        <v>3166</v>
      </c>
      <c r="N4">
        <f>INDEX(SchnittGes4!N:N,MATCH(L4,SchnittGes4!L:L,0))+INDEX(Schnitt5!N:N,MATCH(L4,Schnitt5!L:L,0))</f>
        <v>20</v>
      </c>
      <c r="O4">
        <f t="shared" si="0"/>
        <v>158.29999999600003</v>
      </c>
      <c r="P4">
        <f t="shared" si="1"/>
        <v>32</v>
      </c>
    </row>
    <row r="5" spans="1:16" x14ac:dyDescent="0.2">
      <c r="A5">
        <v>1</v>
      </c>
      <c r="B5">
        <f t="shared" ref="B5:B36" si="2">IFERROR(INDEX(L:L,MATCH(A5,P:P,0)),"")</f>
        <v>38046</v>
      </c>
      <c r="C5" t="str">
        <f>IFERROR(INDEX(Starter!B:B,MATCH(B5,Starter!A:A,0)),"")</f>
        <v>Humbs, Martin</v>
      </c>
      <c r="D5" t="str">
        <f>IFERROR(INDEX(Starter!C:C,MATCH(B5,Starter!A:A,0)),"")</f>
        <v>BC Castra Regina Regensburg</v>
      </c>
      <c r="E5" s="92">
        <f t="shared" ref="E5:E36" si="3">IFERROR(INDEX(M:M,MATCH(A5,P:P,0)),"")</f>
        <v>5039</v>
      </c>
      <c r="F5">
        <f t="shared" ref="F5:F36" si="4">IFERROR(INDEX(N:N,MATCH(A5,P:P,0)),"")</f>
        <v>25</v>
      </c>
      <c r="G5" s="169">
        <f t="shared" ref="G5:G36" si="5">IFERROR(INDEX(O:O,MATCH(A5,P:P,0)),"")</f>
        <v>201.55999997800001</v>
      </c>
      <c r="L5" s="108">
        <f>INDEX(Starter!A:A,ROW()-1)</f>
        <v>7128</v>
      </c>
      <c r="M5">
        <f>INDEX(SchnittGes4!M:M,MATCH(L5,SchnittGes4!L:L,0))+INDEX(Schnitt5!M:M,MATCH(L5,Schnitt5!L:L,0))</f>
        <v>2592</v>
      </c>
      <c r="N5">
        <f>INDEX(SchnittGes4!N:N,MATCH(L5,SchnittGes4!L:L,0))+INDEX(Schnitt5!N:N,MATCH(L5,Schnitt5!L:L,0))</f>
        <v>15</v>
      </c>
      <c r="O5">
        <f t="shared" si="0"/>
        <v>172.79999999500001</v>
      </c>
      <c r="P5">
        <f t="shared" si="1"/>
        <v>23</v>
      </c>
    </row>
    <row r="6" spans="1:16" x14ac:dyDescent="0.2">
      <c r="A6">
        <f t="shared" ref="A6:A37" si="6">IFERROR(IF(A5+1&gt;MAX(P:P)-1,"",A5+1),"")</f>
        <v>2</v>
      </c>
      <c r="B6">
        <f t="shared" si="2"/>
        <v>7126</v>
      </c>
      <c r="C6" t="str">
        <f>IFERROR(INDEX(Starter!B:B,MATCH(B6,Starter!A:A,0)),"")</f>
        <v>Wülfert, Frank</v>
      </c>
      <c r="D6" t="str">
        <f>IFERROR(INDEX(Starter!C:C,MATCH(B6,Starter!A:A,0)),"")</f>
        <v>Kings Club Bayreuth</v>
      </c>
      <c r="E6" s="92">
        <f t="shared" si="3"/>
        <v>960</v>
      </c>
      <c r="F6">
        <f t="shared" si="4"/>
        <v>5</v>
      </c>
      <c r="G6" s="169">
        <f t="shared" si="5"/>
        <v>191.99999995499999</v>
      </c>
      <c r="L6" s="108">
        <f>INDEX(Starter!A:A,ROW()-1)</f>
        <v>38507</v>
      </c>
      <c r="M6">
        <f>INDEX(SchnittGes4!M:M,MATCH(L6,SchnittGes4!L:L,0))+INDEX(Schnitt5!M:M,MATCH(L6,Schnitt5!L:L,0))</f>
        <v>444</v>
      </c>
      <c r="N6">
        <f>INDEX(SchnittGes4!N:N,MATCH(L6,SchnittGes4!L:L,0))+INDEX(Schnitt5!N:N,MATCH(L6,Schnitt5!L:L,0))</f>
        <v>3</v>
      </c>
      <c r="O6">
        <f t="shared" si="0"/>
        <v>147.99999999400001</v>
      </c>
      <c r="P6">
        <f t="shared" si="1"/>
        <v>36</v>
      </c>
    </row>
    <row r="7" spans="1:16" x14ac:dyDescent="0.2">
      <c r="A7">
        <f t="shared" si="6"/>
        <v>3</v>
      </c>
      <c r="B7">
        <f t="shared" si="2"/>
        <v>38260</v>
      </c>
      <c r="C7" t="str">
        <f>IFERROR(INDEX(Starter!B:B,MATCH(B7,Starter!A:A,0)),"")</f>
        <v>Zehendner, Lukas</v>
      </c>
      <c r="D7" t="str">
        <f>IFERROR(INDEX(Starter!C:C,MATCH(B7,Starter!A:A,0)),"")</f>
        <v>BC Castra Regina Regensburg</v>
      </c>
      <c r="E7" s="92">
        <f t="shared" si="3"/>
        <v>949</v>
      </c>
      <c r="F7">
        <f t="shared" si="4"/>
        <v>5</v>
      </c>
      <c r="G7" s="169">
        <f t="shared" si="5"/>
        <v>189.799999966</v>
      </c>
      <c r="L7" s="108">
        <f>INDEX(Starter!A:A,ROW()-1)</f>
        <v>38115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39</v>
      </c>
    </row>
    <row r="8" spans="1:16" x14ac:dyDescent="0.2">
      <c r="A8">
        <f t="shared" si="6"/>
        <v>4</v>
      </c>
      <c r="B8">
        <f t="shared" si="2"/>
        <v>38571</v>
      </c>
      <c r="C8" t="str">
        <f>IFERROR(INDEX(Starter!B:B,MATCH(B8,Starter!A:A,0)),"")</f>
        <v>Simon, Steven</v>
      </c>
      <c r="D8" t="str">
        <f>IFERROR(INDEX(Starter!C:C,MATCH(B8,Starter!A:A,0)),"")</f>
        <v>BC Castra Regina Regensburg</v>
      </c>
      <c r="E8" s="92">
        <f t="shared" si="3"/>
        <v>3202</v>
      </c>
      <c r="F8">
        <f t="shared" si="4"/>
        <v>17</v>
      </c>
      <c r="G8" s="169">
        <f t="shared" si="5"/>
        <v>188.35294115347057</v>
      </c>
      <c r="L8" s="108">
        <f>INDEX(Starter!A:A,ROW()-1)</f>
        <v>7586</v>
      </c>
      <c r="M8">
        <f>INDEX(SchnittGes4!M:M,MATCH(L8,SchnittGes4!L:L,0))+INDEX(Schnitt5!M:M,MATCH(L8,Schnitt5!L:L,0))</f>
        <v>4507</v>
      </c>
      <c r="N8">
        <f>INDEX(SchnittGes4!N:N,MATCH(L8,SchnittGes4!L:L,0))+INDEX(Schnitt5!N:N,MATCH(L8,Schnitt5!L:L,0))</f>
        <v>25</v>
      </c>
      <c r="O8">
        <f t="shared" si="0"/>
        <v>180.279999992</v>
      </c>
      <c r="P8">
        <f t="shared" si="1"/>
        <v>14</v>
      </c>
    </row>
    <row r="9" spans="1:16" x14ac:dyDescent="0.2">
      <c r="A9">
        <f t="shared" si="6"/>
        <v>5</v>
      </c>
      <c r="B9">
        <f t="shared" si="2"/>
        <v>25760</v>
      </c>
      <c r="C9" t="str">
        <f>IFERROR(INDEX(Starter!B:B,MATCH(B9,Starter!A:A,0)),"")</f>
        <v>Inkermann, Matthias</v>
      </c>
      <c r="D9" t="str">
        <f>IFERROR(INDEX(Starter!C:C,MATCH(B9,Starter!A:A,0)),"")</f>
        <v>BC Herzogenaurach</v>
      </c>
      <c r="E9" s="92">
        <f t="shared" si="3"/>
        <v>4704</v>
      </c>
      <c r="F9">
        <f t="shared" si="4"/>
        <v>25</v>
      </c>
      <c r="G9" s="169">
        <f t="shared" si="5"/>
        <v>188.159999957</v>
      </c>
      <c r="L9" s="108">
        <f>INDEX(Starter!A:A,ROW()-1)</f>
        <v>9936</v>
      </c>
      <c r="M9">
        <f>INDEX(SchnittGes4!M:M,MATCH(L9,SchnittGes4!L:L,0))+INDEX(Schnitt5!M:M,MATCH(L9,Schnitt5!L:L,0))</f>
        <v>3678</v>
      </c>
      <c r="N9">
        <f>INDEX(SchnittGes4!N:N,MATCH(L9,SchnittGes4!L:L,0))+INDEX(Schnitt5!N:N,MATCH(L9,Schnitt5!L:L,0))</f>
        <v>20</v>
      </c>
      <c r="O9">
        <f t="shared" si="0"/>
        <v>183.89999999100002</v>
      </c>
      <c r="P9">
        <f t="shared" si="1"/>
        <v>9</v>
      </c>
    </row>
    <row r="10" spans="1:16" x14ac:dyDescent="0.2">
      <c r="A10">
        <f t="shared" si="6"/>
        <v>6</v>
      </c>
      <c r="B10">
        <f t="shared" si="2"/>
        <v>7814</v>
      </c>
      <c r="C10" t="str">
        <f>IFERROR(INDEX(Starter!B:B,MATCH(B10,Starter!A:A,0)),"")</f>
        <v>Kauscher, Bernhard</v>
      </c>
      <c r="D10" t="str">
        <f>IFERROR(INDEX(Starter!C:C,MATCH(B10,Starter!A:A,0)),"")</f>
        <v>BC Castra Regina Regensburg</v>
      </c>
      <c r="E10" s="92">
        <f t="shared" si="3"/>
        <v>1881</v>
      </c>
      <c r="F10">
        <f t="shared" si="4"/>
        <v>10</v>
      </c>
      <c r="G10" s="169">
        <f t="shared" si="5"/>
        <v>188.09999997399999</v>
      </c>
      <c r="L10" s="108">
        <f>INDEX(Starter!A:A,ROW()-1)</f>
        <v>7135</v>
      </c>
      <c r="M10">
        <f>INDEX(SchnittGes4!M:M,MATCH(L10,SchnittGes4!L:L,0))+INDEX(Schnitt5!M:M,MATCH(L10,Schnitt5!L:L,0))</f>
        <v>914</v>
      </c>
      <c r="N10">
        <f>INDEX(SchnittGes4!N:N,MATCH(L10,SchnittGes4!L:L,0))+INDEX(Schnitt5!N:N,MATCH(L10,Schnitt5!L:L,0))</f>
        <v>5</v>
      </c>
      <c r="O10">
        <f t="shared" si="0"/>
        <v>182.79999999</v>
      </c>
      <c r="P10">
        <f t="shared" si="1"/>
        <v>12</v>
      </c>
    </row>
    <row r="11" spans="1:16" x14ac:dyDescent="0.2">
      <c r="A11">
        <f t="shared" si="6"/>
        <v>7</v>
      </c>
      <c r="B11">
        <f t="shared" si="2"/>
        <v>25723</v>
      </c>
      <c r="C11" t="str">
        <f>IFERROR(INDEX(Starter!B:B,MATCH(B11,Starter!A:A,0)),"")</f>
        <v>Bothe, Thomas</v>
      </c>
      <c r="D11" t="str">
        <f>IFERROR(INDEX(Starter!C:C,MATCH(B11,Starter!A:A,0)),"")</f>
        <v>BC Castra Regina Regensburg</v>
      </c>
      <c r="E11" s="92">
        <f t="shared" si="3"/>
        <v>1875</v>
      </c>
      <c r="F11">
        <f t="shared" si="4"/>
        <v>10</v>
      </c>
      <c r="G11" s="169">
        <f t="shared" si="5"/>
        <v>187.49999996400001</v>
      </c>
      <c r="L11" s="108">
        <f>INDEX(Starter!A:A,ROW()-1)</f>
        <v>38367</v>
      </c>
      <c r="M11">
        <f>INDEX(SchnittGes4!M:M,MATCH(L11,SchnittGes4!L:L,0))+INDEX(Schnitt5!M:M,MATCH(L11,Schnitt5!L:L,0))</f>
        <v>0</v>
      </c>
      <c r="N11">
        <f>INDEX(SchnittGes4!N:N,MATCH(L11,SchnittGes4!L:L,0))+INDEX(Schnitt5!N:N,MATCH(L11,Schnitt5!L:L,0))</f>
        <v>0</v>
      </c>
      <c r="O11">
        <f t="shared" si="0"/>
        <v>0</v>
      </c>
      <c r="P11">
        <f t="shared" si="1"/>
        <v>39</v>
      </c>
    </row>
    <row r="12" spans="1:16" x14ac:dyDescent="0.2">
      <c r="A12">
        <f t="shared" si="6"/>
        <v>8</v>
      </c>
      <c r="B12">
        <f t="shared" si="2"/>
        <v>7813</v>
      </c>
      <c r="C12" t="str">
        <f>IFERROR(INDEX(Starter!B:B,MATCH(B12,Starter!A:A,0)),"")</f>
        <v>Walzer, Peter</v>
      </c>
      <c r="D12" t="str">
        <f>IFERROR(INDEX(Starter!C:C,MATCH(B12,Starter!A:A,0)),"")</f>
        <v>BC Castra Regina Regensburg</v>
      </c>
      <c r="E12" s="92">
        <f t="shared" si="3"/>
        <v>2616</v>
      </c>
      <c r="F12">
        <f t="shared" si="4"/>
        <v>14</v>
      </c>
      <c r="G12" s="169">
        <f t="shared" si="5"/>
        <v>186.85714283014286</v>
      </c>
      <c r="L12" s="108">
        <f>INDEX(Starter!A:A,ROW()-1)</f>
        <v>38152</v>
      </c>
      <c r="M12">
        <f>INDEX(SchnittGes4!M:M,MATCH(L12,SchnittGes4!L:L,0))+INDEX(Schnitt5!M:M,MATCH(L12,Schnitt5!L:L,0))</f>
        <v>282</v>
      </c>
      <c r="N12">
        <f>INDEX(SchnittGes4!N:N,MATCH(L12,SchnittGes4!L:L,0))+INDEX(Schnitt5!N:N,MATCH(L12,Schnitt5!L:L,0))</f>
        <v>2</v>
      </c>
      <c r="O12">
        <f t="shared" si="0"/>
        <v>140.99999998800001</v>
      </c>
      <c r="P12">
        <f t="shared" si="1"/>
        <v>38</v>
      </c>
    </row>
    <row r="13" spans="1:16" x14ac:dyDescent="0.2">
      <c r="A13">
        <f t="shared" si="6"/>
        <v>9</v>
      </c>
      <c r="B13">
        <f t="shared" si="2"/>
        <v>9936</v>
      </c>
      <c r="C13" t="str">
        <f>IFERROR(INDEX(Starter!B:B,MATCH(B13,Starter!A:A,0)),"")</f>
        <v>Fischer, Nick</v>
      </c>
      <c r="D13" t="str">
        <f>IFERROR(INDEX(Starter!C:C,MATCH(B13,Starter!A:A,0)),"")</f>
        <v>Kings Club Bayreuth</v>
      </c>
      <c r="E13" s="92">
        <f t="shared" si="3"/>
        <v>3678</v>
      </c>
      <c r="F13">
        <f t="shared" si="4"/>
        <v>20</v>
      </c>
      <c r="G13" s="169">
        <f t="shared" si="5"/>
        <v>183.89999999100002</v>
      </c>
      <c r="L13" s="108">
        <f>INDEX(Starter!A:A,ROW()-1)</f>
        <v>25007</v>
      </c>
      <c r="M13">
        <f>INDEX(SchnittGes4!M:M,MATCH(L13,SchnittGes4!L:L,0))+INDEX(Schnitt5!M:M,MATCH(L13,Schnitt5!L:L,0))</f>
        <v>0</v>
      </c>
      <c r="N13">
        <f>INDEX(SchnittGes4!N:N,MATCH(L13,SchnittGes4!L:L,0))+INDEX(Schnitt5!N:N,MATCH(L13,Schnitt5!L:L,0))</f>
        <v>0</v>
      </c>
      <c r="O13">
        <f t="shared" si="0"/>
        <v>0</v>
      </c>
      <c r="P13">
        <f t="shared" si="1"/>
        <v>39</v>
      </c>
    </row>
    <row r="14" spans="1:16" x14ac:dyDescent="0.2">
      <c r="A14">
        <f t="shared" si="6"/>
        <v>10</v>
      </c>
      <c r="B14">
        <f t="shared" si="2"/>
        <v>7816</v>
      </c>
      <c r="C14" t="str">
        <f>IFERROR(INDEX(Starter!B:B,MATCH(B14,Starter!A:A,0)),"")</f>
        <v>Jahre, Steffen</v>
      </c>
      <c r="D14" t="str">
        <f>IFERROR(INDEX(Starter!C:C,MATCH(B14,Starter!A:A,0)),"")</f>
        <v>BC Castra Regina Regensburg</v>
      </c>
      <c r="E14" s="92">
        <f t="shared" si="3"/>
        <v>919</v>
      </c>
      <c r="F14">
        <f t="shared" si="4"/>
        <v>5</v>
      </c>
      <c r="G14" s="169">
        <f t="shared" si="5"/>
        <v>183.799999963</v>
      </c>
      <c r="L14" s="108">
        <f>INDEX(Starter!A:A,ROW()-1)</f>
        <v>38661</v>
      </c>
      <c r="M14">
        <f>INDEX(SchnittGes4!M:M,MATCH(L14,SchnittGes4!L:L,0))+INDEX(Schnitt5!M:M,MATCH(L14,Schnitt5!L:L,0))</f>
        <v>2510</v>
      </c>
      <c r="N14">
        <f>INDEX(SchnittGes4!N:N,MATCH(L14,SchnittGes4!L:L,0))+INDEX(Schnitt5!N:N,MATCH(L14,Schnitt5!L:L,0))</f>
        <v>15</v>
      </c>
      <c r="O14">
        <f t="shared" si="0"/>
        <v>167.33333331933335</v>
      </c>
      <c r="P14">
        <f t="shared" si="1"/>
        <v>27</v>
      </c>
    </row>
    <row r="15" spans="1:16" x14ac:dyDescent="0.2">
      <c r="A15">
        <f t="shared" si="6"/>
        <v>11</v>
      </c>
      <c r="B15">
        <f t="shared" si="2"/>
        <v>25895</v>
      </c>
      <c r="C15" t="str">
        <f>IFERROR(INDEX(Starter!B:B,MATCH(B15,Starter!A:A,0)),"")</f>
        <v>Gilch, Stefan</v>
      </c>
      <c r="D15" t="str">
        <f>IFERROR(INDEX(Starter!C:C,MATCH(B15,Starter!A:A,0)),"")</f>
        <v>BC Castra Regina Regensburg</v>
      </c>
      <c r="E15" s="92">
        <f t="shared" si="3"/>
        <v>2935</v>
      </c>
      <c r="F15">
        <f t="shared" si="4"/>
        <v>16</v>
      </c>
      <c r="G15" s="169">
        <f t="shared" si="5"/>
        <v>183.43749996700001</v>
      </c>
      <c r="L15" s="108">
        <f>INDEX(Starter!A:A,ROW()-1)</f>
        <v>34393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0"/>
        <v>0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7135</v>
      </c>
      <c r="C16" t="str">
        <f>IFERROR(INDEX(Starter!B:B,MATCH(B16,Starter!A:A,0)),"")</f>
        <v>Franke, Guido</v>
      </c>
      <c r="D16" t="str">
        <f>IFERROR(INDEX(Starter!C:C,MATCH(B16,Starter!A:A,0)),"")</f>
        <v>Kings Club Bayreuth</v>
      </c>
      <c r="E16" s="92">
        <f t="shared" si="3"/>
        <v>914</v>
      </c>
      <c r="F16">
        <f t="shared" si="4"/>
        <v>5</v>
      </c>
      <c r="G16" s="169">
        <f t="shared" si="5"/>
        <v>182.79999999</v>
      </c>
      <c r="L16" s="108">
        <f>INDEX(Starter!A:A,ROW()-1)</f>
        <v>38823</v>
      </c>
      <c r="M16">
        <f>INDEX(SchnittGes4!M:M,MATCH(L16,SchnittGes4!L:L,0))+INDEX(Schnitt5!M:M,MATCH(L16,Schnitt5!L:L,0))</f>
        <v>4230</v>
      </c>
      <c r="N16">
        <f>INDEX(SchnittGes4!N:N,MATCH(L16,SchnittGes4!L:L,0))+INDEX(Schnitt5!N:N,MATCH(L16,Schnitt5!L:L,0))</f>
        <v>25</v>
      </c>
      <c r="O16">
        <f t="shared" si="0"/>
        <v>169.19999998399999</v>
      </c>
      <c r="P16">
        <f t="shared" si="1"/>
        <v>26</v>
      </c>
    </row>
    <row r="17" spans="1:16" x14ac:dyDescent="0.2">
      <c r="A17">
        <f t="shared" si="6"/>
        <v>13</v>
      </c>
      <c r="B17">
        <f t="shared" si="2"/>
        <v>25130</v>
      </c>
      <c r="C17" t="str">
        <f>IFERROR(INDEX(Starter!B:B,MATCH(B17,Starter!A:A,0)),"")</f>
        <v>Aumeier, Bernhard</v>
      </c>
      <c r="D17" t="str">
        <f>IFERROR(INDEX(Starter!C:C,MATCH(B17,Starter!A:A,0)),"")</f>
        <v>BC Castra Regina Regensburg</v>
      </c>
      <c r="E17" s="92">
        <f t="shared" si="3"/>
        <v>3065</v>
      </c>
      <c r="F17">
        <f t="shared" si="4"/>
        <v>17</v>
      </c>
      <c r="G17" s="169">
        <f t="shared" si="5"/>
        <v>180.29411761805881</v>
      </c>
      <c r="L17" s="108">
        <f>INDEX(Starter!A:A,ROW()-1)</f>
        <v>38509</v>
      </c>
      <c r="M17">
        <f>INDEX(SchnittGes4!M:M,MATCH(L17,SchnittGes4!L:L,0))+INDEX(Schnitt5!M:M,MATCH(L17,Schnitt5!L:L,0))</f>
        <v>4113</v>
      </c>
      <c r="N17">
        <f>INDEX(SchnittGes4!N:N,MATCH(L17,SchnittGes4!L:L,0))+INDEX(Schnitt5!N:N,MATCH(L17,Schnitt5!L:L,0))</f>
        <v>25</v>
      </c>
      <c r="O17">
        <f t="shared" si="0"/>
        <v>164.51999998300002</v>
      </c>
      <c r="P17">
        <f t="shared" si="1"/>
        <v>30</v>
      </c>
    </row>
    <row r="18" spans="1:16" x14ac:dyDescent="0.2">
      <c r="A18">
        <f t="shared" si="6"/>
        <v>14</v>
      </c>
      <c r="B18">
        <f t="shared" si="2"/>
        <v>7586</v>
      </c>
      <c r="C18" t="str">
        <f>IFERROR(INDEX(Starter!B:B,MATCH(B18,Starter!A:A,0)),"")</f>
        <v>Eichner, Karl</v>
      </c>
      <c r="D18" t="str">
        <f>IFERROR(INDEX(Starter!C:C,MATCH(B18,Starter!A:A,0)),"")</f>
        <v>Kings Club Bayreuth</v>
      </c>
      <c r="E18" s="92">
        <f t="shared" si="3"/>
        <v>4507</v>
      </c>
      <c r="F18">
        <f t="shared" si="4"/>
        <v>25</v>
      </c>
      <c r="G18" s="169">
        <f t="shared" si="5"/>
        <v>180.279999992</v>
      </c>
      <c r="L18" s="108">
        <f>INDEX(Starter!A:A,ROW()-1)</f>
        <v>7282</v>
      </c>
      <c r="M18">
        <f>INDEX(SchnittGes4!M:M,MATCH(L18,SchnittGes4!L:L,0))+INDEX(Schnitt5!M:M,MATCH(L18,Schnitt5!L:L,0))</f>
        <v>2699</v>
      </c>
      <c r="N18">
        <f>INDEX(SchnittGes4!N:N,MATCH(L18,SchnittGes4!L:L,0))+INDEX(Schnitt5!N:N,MATCH(L18,Schnitt5!L:L,0))</f>
        <v>15</v>
      </c>
      <c r="O18">
        <f t="shared" si="0"/>
        <v>179.93333331533333</v>
      </c>
      <c r="P18">
        <f t="shared" si="1"/>
        <v>15</v>
      </c>
    </row>
    <row r="19" spans="1:16" x14ac:dyDescent="0.2">
      <c r="A19">
        <f t="shared" si="6"/>
        <v>15</v>
      </c>
      <c r="B19">
        <f t="shared" si="2"/>
        <v>7282</v>
      </c>
      <c r="C19" t="str">
        <f>IFERROR(INDEX(Starter!B:B,MATCH(B19,Starter!A:A,0)),"")</f>
        <v>Voss, Horst</v>
      </c>
      <c r="D19" t="str">
        <f>IFERROR(INDEX(Starter!C:C,MATCH(B19,Starter!A:A,0)),"")</f>
        <v>BC Herzogenaurach</v>
      </c>
      <c r="E19" s="92">
        <f t="shared" si="3"/>
        <v>2699</v>
      </c>
      <c r="F19">
        <f t="shared" si="4"/>
        <v>15</v>
      </c>
      <c r="G19" s="169">
        <f t="shared" si="5"/>
        <v>179.93333331533333</v>
      </c>
      <c r="L19" s="108">
        <f>INDEX(Starter!A:A,ROW()-1)</f>
        <v>25378</v>
      </c>
      <c r="M19">
        <f>INDEX(SchnittGes4!M:M,MATCH(L19,SchnittGes4!L:L,0))+INDEX(Schnitt5!M:M,MATCH(L19,Schnitt5!L:L,0))</f>
        <v>3174</v>
      </c>
      <c r="N19">
        <f>INDEX(SchnittGes4!N:N,MATCH(L19,SchnittGes4!L:L,0))+INDEX(Schnitt5!N:N,MATCH(L19,Schnitt5!L:L,0))</f>
        <v>18</v>
      </c>
      <c r="O19">
        <f t="shared" si="0"/>
        <v>176.33333331433334</v>
      </c>
      <c r="P19">
        <f t="shared" si="1"/>
        <v>19</v>
      </c>
    </row>
    <row r="20" spans="1:16" x14ac:dyDescent="0.2">
      <c r="A20">
        <f t="shared" si="6"/>
        <v>16</v>
      </c>
      <c r="B20">
        <f t="shared" si="2"/>
        <v>7283</v>
      </c>
      <c r="C20" t="str">
        <f>IFERROR(INDEX(Starter!B:B,MATCH(B20,Starter!A:A,0)),"")</f>
        <v>Pichl, Jürgen</v>
      </c>
      <c r="D20" t="str">
        <f>IFERROR(INDEX(Starter!C:C,MATCH(B20,Starter!A:A,0)),"")</f>
        <v>BC Herzogenaurach</v>
      </c>
      <c r="E20" s="92">
        <f t="shared" si="3"/>
        <v>3589</v>
      </c>
      <c r="F20">
        <f t="shared" si="4"/>
        <v>20</v>
      </c>
      <c r="G20" s="169">
        <f t="shared" si="5"/>
        <v>179.44999997899998</v>
      </c>
      <c r="L20" s="108">
        <f>INDEX(Starter!A:A,ROW()-1)</f>
        <v>7286</v>
      </c>
      <c r="M20">
        <f>INDEX(SchnittGes4!M:M,MATCH(L20,SchnittGes4!L:L,0))+INDEX(Schnitt5!M:M,MATCH(L20,Schnitt5!L:L,0))</f>
        <v>3577</v>
      </c>
      <c r="N20">
        <f>INDEX(SchnittGes4!N:N,MATCH(L20,SchnittGes4!L:L,0))+INDEX(Schnitt5!N:N,MATCH(L20,Schnitt5!L:L,0))</f>
        <v>20</v>
      </c>
      <c r="O20">
        <f t="shared" si="0"/>
        <v>178.84999998000001</v>
      </c>
      <c r="P20">
        <f t="shared" si="1"/>
        <v>17</v>
      </c>
    </row>
    <row r="21" spans="1:16" x14ac:dyDescent="0.2">
      <c r="A21">
        <f t="shared" si="6"/>
        <v>17</v>
      </c>
      <c r="B21">
        <f t="shared" si="2"/>
        <v>7286</v>
      </c>
      <c r="C21" t="str">
        <f>IFERROR(INDEX(Starter!B:B,MATCH(B21,Starter!A:A,0)),"")</f>
        <v>Meier, Peter</v>
      </c>
      <c r="D21" t="str">
        <f>IFERROR(INDEX(Starter!C:C,MATCH(B21,Starter!A:A,0)),"")</f>
        <v>BC Herzogenaurach</v>
      </c>
      <c r="E21" s="92">
        <f t="shared" si="3"/>
        <v>3577</v>
      </c>
      <c r="F21">
        <f t="shared" si="4"/>
        <v>20</v>
      </c>
      <c r="G21" s="169">
        <f t="shared" si="5"/>
        <v>178.84999998000001</v>
      </c>
      <c r="L21" s="108">
        <f>INDEX(Starter!A:A,ROW()-1)</f>
        <v>7283</v>
      </c>
      <c r="M21">
        <f>INDEX(SchnittGes4!M:M,MATCH(L21,SchnittGes4!L:L,0))+INDEX(Schnitt5!M:M,MATCH(L21,Schnitt5!L:L,0))</f>
        <v>3589</v>
      </c>
      <c r="N21">
        <f>INDEX(SchnittGes4!N:N,MATCH(L21,SchnittGes4!L:L,0))+INDEX(Schnitt5!N:N,MATCH(L21,Schnitt5!L:L,0))</f>
        <v>20</v>
      </c>
      <c r="O21">
        <f t="shared" si="0"/>
        <v>179.44999997899998</v>
      </c>
      <c r="P21">
        <f t="shared" si="1"/>
        <v>16</v>
      </c>
    </row>
    <row r="22" spans="1:16" x14ac:dyDescent="0.2">
      <c r="A22">
        <f t="shared" si="6"/>
        <v>18</v>
      </c>
      <c r="B22">
        <f t="shared" si="2"/>
        <v>16707</v>
      </c>
      <c r="C22" t="str">
        <f>IFERROR(INDEX(Starter!B:B,MATCH(B22,Starter!A:A,0)),"")</f>
        <v>Beier, Thomas</v>
      </c>
      <c r="D22" t="str">
        <f>IFERROR(INDEX(Starter!C:C,MATCH(B22,Starter!A:A,0)),"")</f>
        <v>BC Adler Nürnberg</v>
      </c>
      <c r="E22" s="92">
        <f t="shared" si="3"/>
        <v>4448</v>
      </c>
      <c r="F22">
        <f t="shared" si="4"/>
        <v>25</v>
      </c>
      <c r="G22" s="169">
        <f t="shared" si="5"/>
        <v>177.91999995799998</v>
      </c>
      <c r="L22" s="108">
        <f>INDEX(Starter!A:A,ROW()-1)</f>
        <v>38046</v>
      </c>
      <c r="M22">
        <f>INDEX(SchnittGes4!M:M,MATCH(L22,SchnittGes4!L:L,0))+INDEX(Schnitt5!M:M,MATCH(L22,Schnitt5!L:L,0))</f>
        <v>5039</v>
      </c>
      <c r="N22">
        <f>INDEX(SchnittGes4!N:N,MATCH(L22,SchnittGes4!L:L,0))+INDEX(Schnitt5!N:N,MATCH(L22,Schnitt5!L:L,0))</f>
        <v>25</v>
      </c>
      <c r="O22">
        <f t="shared" si="0"/>
        <v>201.55999997800001</v>
      </c>
      <c r="P22">
        <f t="shared" si="1"/>
        <v>1</v>
      </c>
    </row>
    <row r="23" spans="1:16" x14ac:dyDescent="0.2">
      <c r="A23">
        <f t="shared" si="6"/>
        <v>19</v>
      </c>
      <c r="B23">
        <f t="shared" si="2"/>
        <v>25378</v>
      </c>
      <c r="C23" t="str">
        <f>IFERROR(INDEX(Starter!B:B,MATCH(B23,Starter!A:A,0)),"")</f>
        <v>Arnold, Nadine</v>
      </c>
      <c r="D23" t="str">
        <f>IFERROR(INDEX(Starter!C:C,MATCH(B23,Starter!A:A,0)),"")</f>
        <v>BC Herzogenaurach</v>
      </c>
      <c r="E23" s="92">
        <f t="shared" si="3"/>
        <v>3174</v>
      </c>
      <c r="F23">
        <f t="shared" si="4"/>
        <v>18</v>
      </c>
      <c r="G23" s="169">
        <f t="shared" si="5"/>
        <v>176.33333331433334</v>
      </c>
      <c r="L23" s="108">
        <f>INDEX(Starter!A:A,ROW()-1)</f>
        <v>38571</v>
      </c>
      <c r="M23">
        <f>INDEX(SchnittGes4!M:M,MATCH(L23,SchnittGes4!L:L,0))+INDEX(Schnitt5!M:M,MATCH(L23,Schnitt5!L:L,0))</f>
        <v>3202</v>
      </c>
      <c r="N23">
        <f>INDEX(SchnittGes4!N:N,MATCH(L23,SchnittGes4!L:L,0))+INDEX(Schnitt5!N:N,MATCH(L23,Schnitt5!L:L,0))</f>
        <v>17</v>
      </c>
      <c r="O23">
        <f t="shared" si="0"/>
        <v>188.35294115347057</v>
      </c>
      <c r="P23">
        <f t="shared" si="1"/>
        <v>4</v>
      </c>
    </row>
    <row r="24" spans="1:16" x14ac:dyDescent="0.2">
      <c r="A24">
        <f t="shared" si="6"/>
        <v>20</v>
      </c>
      <c r="B24">
        <f t="shared" si="2"/>
        <v>7714</v>
      </c>
      <c r="C24" t="str">
        <f>IFERROR(INDEX(Starter!B:B,MATCH(B24,Starter!A:A,0)),"")</f>
        <v>Doßler, Thomas</v>
      </c>
      <c r="D24" t="str">
        <f>IFERROR(INDEX(Starter!C:C,MATCH(B24,Starter!A:A,0)),"")</f>
        <v>BC Adler Nürnberg</v>
      </c>
      <c r="E24" s="92">
        <f t="shared" si="3"/>
        <v>2623</v>
      </c>
      <c r="F24">
        <f t="shared" si="4"/>
        <v>15</v>
      </c>
      <c r="G24" s="169">
        <f t="shared" si="5"/>
        <v>174.86666662766666</v>
      </c>
      <c r="L24" s="108">
        <f>INDEX(Starter!A:A,ROW()-1)</f>
        <v>38870</v>
      </c>
      <c r="M24">
        <f>INDEX(SchnittGes4!M:M,MATCH(L24,SchnittGes4!L:L,0))+INDEX(Schnitt5!M:M,MATCH(L24,Schnitt5!L:L,0))</f>
        <v>4070</v>
      </c>
      <c r="N24">
        <f>INDEX(SchnittGes4!N:N,MATCH(L24,SchnittGes4!L:L,0))+INDEX(Schnitt5!N:N,MATCH(L24,Schnitt5!L:L,0))</f>
        <v>25</v>
      </c>
      <c r="O24">
        <f t="shared" si="0"/>
        <v>162.79999997600001</v>
      </c>
      <c r="P24">
        <f t="shared" si="1"/>
        <v>31</v>
      </c>
    </row>
    <row r="25" spans="1:16" x14ac:dyDescent="0.2">
      <c r="A25">
        <f t="shared" si="6"/>
        <v>21</v>
      </c>
      <c r="B25">
        <f t="shared" si="2"/>
        <v>7136</v>
      </c>
      <c r="C25" t="str">
        <f>IFERROR(INDEX(Starter!B:B,MATCH(B25,Starter!A:A,0)),"")</f>
        <v>Rühr, Wilfried</v>
      </c>
      <c r="D25" t="str">
        <f>IFERROR(INDEX(Starter!C:C,MATCH(B25,Starter!A:A,0)),"")</f>
        <v>Kings Club Bayreuth</v>
      </c>
      <c r="E25" s="92">
        <f t="shared" si="3"/>
        <v>2621</v>
      </c>
      <c r="F25">
        <f t="shared" si="4"/>
        <v>15</v>
      </c>
      <c r="G25" s="169">
        <f t="shared" si="5"/>
        <v>174.73333333133331</v>
      </c>
      <c r="L25" s="108">
        <f>INDEX(Starter!A:A,ROW()-1)</f>
        <v>7809</v>
      </c>
      <c r="M25">
        <f>INDEX(SchnittGes4!M:M,MATCH(L25,SchnittGes4!L:L,0))+INDEX(Schnitt5!M:M,MATCH(L25,Schnitt5!L:L,0))</f>
        <v>313</v>
      </c>
      <c r="N25">
        <f>INDEX(SchnittGes4!N:N,MATCH(L25,SchnittGes4!L:L,0))+INDEX(Schnitt5!N:N,MATCH(L25,Schnitt5!L:L,0))</f>
        <v>2</v>
      </c>
      <c r="O25">
        <f t="shared" si="0"/>
        <v>156.49999997500001</v>
      </c>
      <c r="P25">
        <f t="shared" si="1"/>
        <v>33</v>
      </c>
    </row>
    <row r="26" spans="1:16" x14ac:dyDescent="0.2">
      <c r="A26">
        <f t="shared" si="6"/>
        <v>22</v>
      </c>
      <c r="B26">
        <f t="shared" si="2"/>
        <v>25811</v>
      </c>
      <c r="C26" t="str">
        <f>IFERROR(INDEX(Starter!B:B,MATCH(B26,Starter!A:A,0)),"")</f>
        <v>Schmelzl, Werner</v>
      </c>
      <c r="D26" t="str">
        <f>IFERROR(INDEX(Starter!C:C,MATCH(B26,Starter!A:A,0)),"")</f>
        <v>BC Adler Nürnberg</v>
      </c>
      <c r="E26" s="92">
        <f t="shared" si="3"/>
        <v>4325</v>
      </c>
      <c r="F26">
        <f t="shared" si="4"/>
        <v>25</v>
      </c>
      <c r="G26" s="169">
        <f t="shared" si="5"/>
        <v>172.99999996</v>
      </c>
      <c r="L26" s="108">
        <f>INDEX(Starter!A:A,ROW()-1)</f>
        <v>7814</v>
      </c>
      <c r="M26">
        <f>INDEX(SchnittGes4!M:M,MATCH(L26,SchnittGes4!L:L,0))+INDEX(Schnitt5!M:M,MATCH(L26,Schnitt5!L:L,0))</f>
        <v>1881</v>
      </c>
      <c r="N26">
        <f>INDEX(SchnittGes4!N:N,MATCH(L26,SchnittGes4!L:L,0))+INDEX(Schnitt5!N:N,MATCH(L26,Schnitt5!L:L,0))</f>
        <v>10</v>
      </c>
      <c r="O26">
        <f t="shared" si="0"/>
        <v>188.09999997399999</v>
      </c>
      <c r="P26">
        <f t="shared" si="1"/>
        <v>6</v>
      </c>
    </row>
    <row r="27" spans="1:16" x14ac:dyDescent="0.2">
      <c r="A27">
        <f t="shared" si="6"/>
        <v>23</v>
      </c>
      <c r="B27">
        <f t="shared" si="2"/>
        <v>7128</v>
      </c>
      <c r="C27" t="str">
        <f>IFERROR(INDEX(Starter!B:B,MATCH(B27,Starter!A:A,0)),"")</f>
        <v>Wallner, Harald</v>
      </c>
      <c r="D27" t="str">
        <f>IFERROR(INDEX(Starter!C:C,MATCH(B27,Starter!A:A,0)),"")</f>
        <v>Kings Club Bayreuth</v>
      </c>
      <c r="E27" s="92">
        <f t="shared" si="3"/>
        <v>2592</v>
      </c>
      <c r="F27">
        <f t="shared" si="4"/>
        <v>15</v>
      </c>
      <c r="G27" s="169">
        <f t="shared" si="5"/>
        <v>172.79999999500001</v>
      </c>
      <c r="L27" s="108">
        <f>INDEX(Starter!A:A,ROW()-1)</f>
        <v>7813</v>
      </c>
      <c r="M27">
        <f>INDEX(SchnittGes4!M:M,MATCH(L27,SchnittGes4!L:L,0))+INDEX(Schnitt5!M:M,MATCH(L27,Schnitt5!L:L,0))</f>
        <v>2616</v>
      </c>
      <c r="N27">
        <f>INDEX(SchnittGes4!N:N,MATCH(L27,SchnittGes4!L:L,0))+INDEX(Schnitt5!N:N,MATCH(L27,Schnitt5!L:L,0))</f>
        <v>14</v>
      </c>
      <c r="O27">
        <f t="shared" si="0"/>
        <v>186.85714283014286</v>
      </c>
      <c r="P27">
        <f t="shared" si="1"/>
        <v>8</v>
      </c>
    </row>
    <row r="28" spans="1:16" x14ac:dyDescent="0.2">
      <c r="A28">
        <f t="shared" si="6"/>
        <v>24</v>
      </c>
      <c r="B28">
        <f t="shared" si="2"/>
        <v>7849</v>
      </c>
      <c r="C28" t="str">
        <f>IFERROR(INDEX(Starter!B:B,MATCH(B28,Starter!A:A,0)),"")</f>
        <v>Stibel, Blasius</v>
      </c>
      <c r="D28" t="str">
        <f>IFERROR(INDEX(Starter!C:C,MATCH(B28,Starter!A:A,0)),"")</f>
        <v>BC Castra Regina Regensburg</v>
      </c>
      <c r="E28" s="92">
        <f t="shared" si="3"/>
        <v>3426</v>
      </c>
      <c r="F28">
        <f t="shared" si="4"/>
        <v>20</v>
      </c>
      <c r="G28" s="169">
        <f t="shared" si="5"/>
        <v>171.299999969</v>
      </c>
      <c r="L28" s="108">
        <f>INDEX(Starter!A:A,ROW()-1)</f>
        <v>7730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0"/>
        <v>0</v>
      </c>
      <c r="P28">
        <f t="shared" si="1"/>
        <v>39</v>
      </c>
    </row>
    <row r="29" spans="1:16" x14ac:dyDescent="0.2">
      <c r="A29">
        <f t="shared" si="6"/>
        <v>25</v>
      </c>
      <c r="B29">
        <f t="shared" si="2"/>
        <v>38570</v>
      </c>
      <c r="C29" t="str">
        <f>IFERROR(INDEX(Starter!B:B,MATCH(B29,Starter!A:A,0)),"")</f>
        <v>Bothe, Willi</v>
      </c>
      <c r="D29" t="str">
        <f>IFERROR(INDEX(Starter!C:C,MATCH(B29,Starter!A:A,0)),"")</f>
        <v>BC Castra Regina Regensburg</v>
      </c>
      <c r="E29" s="92">
        <f t="shared" si="3"/>
        <v>3049</v>
      </c>
      <c r="F29">
        <f t="shared" si="4"/>
        <v>18</v>
      </c>
      <c r="G29" s="169">
        <f t="shared" si="5"/>
        <v>169.38888885388889</v>
      </c>
      <c r="L29" s="108">
        <f>INDEX(Starter!A:A,ROW()-1)</f>
        <v>25130</v>
      </c>
      <c r="M29">
        <f>INDEX(SchnittGes4!M:M,MATCH(L29,SchnittGes4!L:L,0))+INDEX(Schnitt5!M:M,MATCH(L29,Schnitt5!L:L,0))</f>
        <v>3065</v>
      </c>
      <c r="N29">
        <f>INDEX(SchnittGes4!N:N,MATCH(L29,SchnittGes4!L:L,0))+INDEX(Schnitt5!N:N,MATCH(L29,Schnitt5!L:L,0))</f>
        <v>17</v>
      </c>
      <c r="O29">
        <f t="shared" si="0"/>
        <v>180.29411761805881</v>
      </c>
      <c r="P29">
        <f t="shared" si="1"/>
        <v>13</v>
      </c>
    </row>
    <row r="30" spans="1:16" x14ac:dyDescent="0.2">
      <c r="A30">
        <f t="shared" si="6"/>
        <v>26</v>
      </c>
      <c r="B30">
        <f t="shared" si="2"/>
        <v>38823</v>
      </c>
      <c r="C30" t="str">
        <f>IFERROR(INDEX(Starter!B:B,MATCH(B30,Starter!A:A,0)),"")</f>
        <v>Sommerer, Stefan</v>
      </c>
      <c r="D30" t="str">
        <f>IFERROR(INDEX(Starter!C:C,MATCH(B30,Starter!A:A,0)),"")</f>
        <v>Kings Club Bayreuth</v>
      </c>
      <c r="E30" s="92">
        <f t="shared" si="3"/>
        <v>4230</v>
      </c>
      <c r="F30">
        <f t="shared" si="4"/>
        <v>25</v>
      </c>
      <c r="G30" s="169">
        <f t="shared" si="5"/>
        <v>169.19999998399999</v>
      </c>
      <c r="L30" s="108">
        <f>INDEX(Starter!A:A,ROW()-1)</f>
        <v>7854</v>
      </c>
      <c r="M30">
        <f>INDEX(SchnittGes4!M:M,MATCH(L30,SchnittGes4!L:L,0))+INDEX(Schnitt5!M:M,MATCH(L30,Schnitt5!L:L,0))</f>
        <v>0</v>
      </c>
      <c r="N30">
        <f>INDEX(SchnittGes4!N:N,MATCH(L30,SchnittGes4!L:L,0))+INDEX(Schnitt5!N:N,MATCH(L30,Schnitt5!L:L,0))</f>
        <v>0</v>
      </c>
      <c r="O30">
        <f t="shared" si="0"/>
        <v>0</v>
      </c>
      <c r="P30">
        <f t="shared" si="1"/>
        <v>39</v>
      </c>
    </row>
    <row r="31" spans="1:16" x14ac:dyDescent="0.2">
      <c r="A31">
        <f t="shared" si="6"/>
        <v>27</v>
      </c>
      <c r="B31">
        <f t="shared" si="2"/>
        <v>38661</v>
      </c>
      <c r="C31" t="str">
        <f>IFERROR(INDEX(Starter!B:B,MATCH(B31,Starter!A:A,0)),"")</f>
        <v>Katholing, Jürgen</v>
      </c>
      <c r="D31" t="str">
        <f>IFERROR(INDEX(Starter!C:C,MATCH(B31,Starter!A:A,0)),"")</f>
        <v>Kings Club Bayreuth</v>
      </c>
      <c r="E31" s="92">
        <f t="shared" si="3"/>
        <v>2510</v>
      </c>
      <c r="F31">
        <f t="shared" si="4"/>
        <v>15</v>
      </c>
      <c r="G31" s="169">
        <f t="shared" si="5"/>
        <v>167.33333331933335</v>
      </c>
      <c r="L31" s="108">
        <f>INDEX(Starter!A:A,ROW()-1)</f>
        <v>7849</v>
      </c>
      <c r="M31">
        <f>INDEX(SchnittGes4!M:M,MATCH(L31,SchnittGes4!L:L,0))+INDEX(Schnitt5!M:M,MATCH(L31,Schnitt5!L:L,0))</f>
        <v>3426</v>
      </c>
      <c r="N31">
        <f>INDEX(SchnittGes4!N:N,MATCH(L31,SchnittGes4!L:L,0))+INDEX(Schnitt5!N:N,MATCH(L31,Schnitt5!L:L,0))</f>
        <v>20</v>
      </c>
      <c r="O31">
        <f t="shared" si="0"/>
        <v>171.299999969</v>
      </c>
      <c r="P31">
        <f t="shared" si="1"/>
        <v>24</v>
      </c>
    </row>
    <row r="32" spans="1:16" x14ac:dyDescent="0.2">
      <c r="A32">
        <f t="shared" si="6"/>
        <v>28</v>
      </c>
      <c r="B32">
        <f t="shared" si="2"/>
        <v>25944</v>
      </c>
      <c r="C32" t="str">
        <f>IFERROR(INDEX(Starter!B:B,MATCH(B32,Starter!A:A,0)),"")</f>
        <v>Kohl, Oswald</v>
      </c>
      <c r="D32" t="str">
        <f>IFERROR(INDEX(Starter!C:C,MATCH(B32,Starter!A:A,0)),"")</f>
        <v>BC Adler Nürnberg</v>
      </c>
      <c r="E32" s="92">
        <f t="shared" si="3"/>
        <v>2146</v>
      </c>
      <c r="F32">
        <f t="shared" si="4"/>
        <v>13</v>
      </c>
      <c r="G32" s="169">
        <f t="shared" si="5"/>
        <v>165.07692303592307</v>
      </c>
      <c r="L32" s="108">
        <f>INDEX(Starter!A:A,ROW()-1)</f>
        <v>38869</v>
      </c>
      <c r="M32">
        <f>INDEX(SchnittGes4!M:M,MATCH(L32,SchnittGes4!L:L,0))+INDEX(Schnitt5!M:M,MATCH(L32,Schnitt5!L:L,0))</f>
        <v>2460</v>
      </c>
      <c r="N32">
        <f>INDEX(SchnittGes4!N:N,MATCH(L32,SchnittGes4!L:L,0))+INDEX(Schnitt5!N:N,MATCH(L32,Schnitt5!L:L,0))</f>
        <v>16</v>
      </c>
      <c r="O32">
        <f t="shared" si="0"/>
        <v>153.749999968</v>
      </c>
      <c r="P32">
        <f t="shared" si="1"/>
        <v>34</v>
      </c>
    </row>
    <row r="33" spans="1:16" x14ac:dyDescent="0.2">
      <c r="A33">
        <f t="shared" si="6"/>
        <v>29</v>
      </c>
      <c r="B33">
        <f t="shared" si="2"/>
        <v>7761</v>
      </c>
      <c r="C33" t="str">
        <f>IFERROR(INDEX(Starter!B:B,MATCH(B33,Starter!A:A,0)),"")</f>
        <v>Schmitt, Peter</v>
      </c>
      <c r="D33" t="str">
        <f>IFERROR(INDEX(Starter!C:C,MATCH(B33,Starter!A:A,0)),"")</f>
        <v>BC Adler Nürnberg</v>
      </c>
      <c r="E33" s="92">
        <f t="shared" si="3"/>
        <v>3626</v>
      </c>
      <c r="F33">
        <f t="shared" si="4"/>
        <v>22</v>
      </c>
      <c r="G33" s="169">
        <f t="shared" si="5"/>
        <v>164.81818178018182</v>
      </c>
      <c r="L33" s="108">
        <f>INDEX(Starter!A:A,ROW()-1)</f>
        <v>25895</v>
      </c>
      <c r="M33">
        <f>INDEX(SchnittGes4!M:M,MATCH(L33,SchnittGes4!L:L,0))+INDEX(Schnitt5!M:M,MATCH(L33,Schnitt5!L:L,0))</f>
        <v>2935</v>
      </c>
      <c r="N33">
        <f>INDEX(SchnittGes4!N:N,MATCH(L33,SchnittGes4!L:L,0))+INDEX(Schnitt5!N:N,MATCH(L33,Schnitt5!L:L,0))</f>
        <v>16</v>
      </c>
      <c r="O33">
        <f t="shared" si="0"/>
        <v>183.43749996700001</v>
      </c>
      <c r="P33">
        <f t="shared" si="1"/>
        <v>11</v>
      </c>
    </row>
    <row r="34" spans="1:16" x14ac:dyDescent="0.2">
      <c r="A34">
        <f t="shared" si="6"/>
        <v>30</v>
      </c>
      <c r="B34">
        <f t="shared" si="2"/>
        <v>38509</v>
      </c>
      <c r="C34" t="str">
        <f>IFERROR(INDEX(Starter!B:B,MATCH(B34,Starter!A:A,0)),"")</f>
        <v>Zahiri, Ali</v>
      </c>
      <c r="D34" t="str">
        <f>IFERROR(INDEX(Starter!C:C,MATCH(B34,Starter!A:A,0)),"")</f>
        <v>Kings Club Bayreuth</v>
      </c>
      <c r="E34" s="92">
        <f t="shared" si="3"/>
        <v>4113</v>
      </c>
      <c r="F34">
        <f t="shared" si="4"/>
        <v>25</v>
      </c>
      <c r="G34" s="169">
        <f t="shared" si="5"/>
        <v>164.51999998300002</v>
      </c>
      <c r="L34" s="108">
        <f>INDEX(Starter!A:A,ROW()-1)</f>
        <v>38260</v>
      </c>
      <c r="M34">
        <f>INDEX(SchnittGes4!M:M,MATCH(L34,SchnittGes4!L:L,0))+INDEX(Schnitt5!M:M,MATCH(L34,Schnitt5!L:L,0))</f>
        <v>949</v>
      </c>
      <c r="N34">
        <f>INDEX(SchnittGes4!N:N,MATCH(L34,SchnittGes4!L:L,0))+INDEX(Schnitt5!N:N,MATCH(L34,Schnitt5!L:L,0))</f>
        <v>5</v>
      </c>
      <c r="O34">
        <f t="shared" ref="O34:O65" si="7">IF(N34=0,0,M34/N34-ROW()/1000000000)</f>
        <v>189.799999966</v>
      </c>
      <c r="P34">
        <f t="shared" ref="P34:P65" si="8">RANK(O34,O:O)</f>
        <v>3</v>
      </c>
    </row>
    <row r="35" spans="1:16" x14ac:dyDescent="0.2">
      <c r="A35">
        <f t="shared" si="6"/>
        <v>31</v>
      </c>
      <c r="B35">
        <f t="shared" si="2"/>
        <v>38870</v>
      </c>
      <c r="C35" t="str">
        <f>IFERROR(INDEX(Starter!B:B,MATCH(B35,Starter!A:A,0)),"")</f>
        <v>Martin, Dennis</v>
      </c>
      <c r="D35" t="str">
        <f>IFERROR(INDEX(Starter!C:C,MATCH(B35,Starter!A:A,0)),"")</f>
        <v>BC Castra Regina Regensburg</v>
      </c>
      <c r="E35" s="92">
        <f t="shared" si="3"/>
        <v>4070</v>
      </c>
      <c r="F35">
        <f t="shared" si="4"/>
        <v>25</v>
      </c>
      <c r="G35" s="169">
        <f t="shared" si="5"/>
        <v>162.79999997600001</v>
      </c>
      <c r="L35" s="108">
        <f>INDEX(Starter!A:A,ROW()-1)</f>
        <v>38570</v>
      </c>
      <c r="M35">
        <f>INDEX(SchnittGes4!M:M,MATCH(L35,SchnittGes4!L:L,0))+INDEX(Schnitt5!M:M,MATCH(L35,Schnitt5!L:L,0))</f>
        <v>3049</v>
      </c>
      <c r="N35">
        <f>INDEX(SchnittGes4!N:N,MATCH(L35,SchnittGes4!L:L,0))+INDEX(Schnitt5!N:N,MATCH(L35,Schnitt5!L:L,0))</f>
        <v>18</v>
      </c>
      <c r="O35">
        <f t="shared" si="7"/>
        <v>169.38888885388889</v>
      </c>
      <c r="P35">
        <f t="shared" si="8"/>
        <v>25</v>
      </c>
    </row>
    <row r="36" spans="1:16" x14ac:dyDescent="0.2">
      <c r="A36">
        <f t="shared" si="6"/>
        <v>32</v>
      </c>
      <c r="B36">
        <f t="shared" si="2"/>
        <v>25479</v>
      </c>
      <c r="C36" t="str">
        <f>IFERROR(INDEX(Starter!B:B,MATCH(B36,Starter!A:A,0)),"")</f>
        <v>Theisen, Alexander</v>
      </c>
      <c r="D36" t="str">
        <f>IFERROR(INDEX(Starter!C:C,MATCH(B36,Starter!A:A,0)),"")</f>
        <v>Kings Club Bayreuth</v>
      </c>
      <c r="E36" s="92">
        <f t="shared" si="3"/>
        <v>3166</v>
      </c>
      <c r="F36">
        <f t="shared" si="4"/>
        <v>20</v>
      </c>
      <c r="G36" s="169">
        <f t="shared" si="5"/>
        <v>158.29999999600003</v>
      </c>
      <c r="L36" s="108">
        <f>INDEX(Starter!A:A,ROW()-1)</f>
        <v>25723</v>
      </c>
      <c r="M36">
        <f>INDEX(SchnittGes4!M:M,MATCH(L36,SchnittGes4!L:L,0))+INDEX(Schnitt5!M:M,MATCH(L36,Schnitt5!L:L,0))</f>
        <v>1875</v>
      </c>
      <c r="N36">
        <f>INDEX(SchnittGes4!N:N,MATCH(L36,SchnittGes4!L:L,0))+INDEX(Schnitt5!N:N,MATCH(L36,Schnitt5!L:L,0))</f>
        <v>10</v>
      </c>
      <c r="O36">
        <f t="shared" si="7"/>
        <v>187.49999996400001</v>
      </c>
      <c r="P36">
        <f t="shared" si="8"/>
        <v>7</v>
      </c>
    </row>
    <row r="37" spans="1:16" x14ac:dyDescent="0.2">
      <c r="A37">
        <f t="shared" si="6"/>
        <v>33</v>
      </c>
      <c r="B37">
        <f t="shared" ref="B37:B68" si="9">IFERROR(INDEX(L:L,MATCH(A37,P:P,0)),"")</f>
        <v>7809</v>
      </c>
      <c r="C37" t="str">
        <f>IFERROR(INDEX(Starter!B:B,MATCH(B37,Starter!A:A,0)),"")</f>
        <v>Graml, Christian</v>
      </c>
      <c r="D37" t="str">
        <f>IFERROR(INDEX(Starter!C:C,MATCH(B37,Starter!A:A,0)),"")</f>
        <v>BC Castra Regina Regensburg</v>
      </c>
      <c r="E37" s="92">
        <f t="shared" ref="E37:E68" si="10">IFERROR(INDEX(M:M,MATCH(A37,P:P,0)),"")</f>
        <v>313</v>
      </c>
      <c r="F37">
        <f t="shared" ref="F37:F68" si="11">IFERROR(INDEX(N:N,MATCH(A37,P:P,0)),"")</f>
        <v>2</v>
      </c>
      <c r="G37" s="169">
        <f t="shared" ref="G37:G68" si="12">IFERROR(INDEX(O:O,MATCH(A37,P:P,0)),"")</f>
        <v>156.49999997500001</v>
      </c>
      <c r="L37" s="108">
        <f>INDEX(Starter!A:A,ROW()-1)</f>
        <v>7816</v>
      </c>
      <c r="M37">
        <f>INDEX(SchnittGes4!M:M,MATCH(L37,SchnittGes4!L:L,0))+INDEX(Schnitt5!M:M,MATCH(L37,Schnitt5!L:L,0))</f>
        <v>919</v>
      </c>
      <c r="N37">
        <f>INDEX(SchnittGes4!N:N,MATCH(L37,SchnittGes4!L:L,0))+INDEX(Schnitt5!N:N,MATCH(L37,Schnitt5!L:L,0))</f>
        <v>5</v>
      </c>
      <c r="O37">
        <f t="shared" si="7"/>
        <v>183.799999963</v>
      </c>
      <c r="P37">
        <f t="shared" si="8"/>
        <v>10</v>
      </c>
    </row>
    <row r="38" spans="1:16" x14ac:dyDescent="0.2">
      <c r="A38">
        <f t="shared" ref="A38:A69" si="13">IFERROR(IF(A37+1&gt;MAX(P:P)-1,"",A37+1),"")</f>
        <v>34</v>
      </c>
      <c r="B38">
        <f t="shared" si="9"/>
        <v>38869</v>
      </c>
      <c r="C38" t="str">
        <f>IFERROR(INDEX(Starter!B:B,MATCH(B38,Starter!A:A,0)),"")</f>
        <v>Simon, Diana</v>
      </c>
      <c r="D38" t="str">
        <f>IFERROR(INDEX(Starter!C:C,MATCH(B38,Starter!A:A,0)),"")</f>
        <v>BC Castra Regina Regensburg</v>
      </c>
      <c r="E38" s="92">
        <f t="shared" si="10"/>
        <v>2460</v>
      </c>
      <c r="F38">
        <f t="shared" si="11"/>
        <v>16</v>
      </c>
      <c r="G38" s="169">
        <f t="shared" si="12"/>
        <v>153.749999968</v>
      </c>
      <c r="L38" s="108">
        <f>INDEX(Starter!A:A,ROW()-1)</f>
        <v>7761</v>
      </c>
      <c r="M38">
        <f>INDEX(SchnittGes4!M:M,MATCH(L38,SchnittGes4!L:L,0))+INDEX(Schnitt5!M:M,MATCH(L38,Schnitt5!L:L,0))</f>
        <v>3626</v>
      </c>
      <c r="N38">
        <f>INDEX(SchnittGes4!N:N,MATCH(L38,SchnittGes4!L:L,0))+INDEX(Schnitt5!N:N,MATCH(L38,Schnitt5!L:L,0))</f>
        <v>22</v>
      </c>
      <c r="O38">
        <f t="shared" si="7"/>
        <v>164.81818178018182</v>
      </c>
      <c r="P38">
        <f t="shared" si="8"/>
        <v>29</v>
      </c>
    </row>
    <row r="39" spans="1:16" x14ac:dyDescent="0.2">
      <c r="A39">
        <f t="shared" si="13"/>
        <v>35</v>
      </c>
      <c r="B39">
        <f t="shared" si="9"/>
        <v>16897</v>
      </c>
      <c r="C39" t="str">
        <f>IFERROR(INDEX(Starter!B:B,MATCH(B39,Starter!A:A,0)),"")</f>
        <v>Hertel, Jürgen</v>
      </c>
      <c r="D39" t="str">
        <f>IFERROR(INDEX(Starter!C:C,MATCH(B39,Starter!A:A,0)),"")</f>
        <v>BC Herzogenaurach</v>
      </c>
      <c r="E39" s="92">
        <f t="shared" si="10"/>
        <v>305</v>
      </c>
      <c r="F39">
        <f t="shared" si="11"/>
        <v>2</v>
      </c>
      <c r="G39" s="169">
        <f t="shared" si="12"/>
        <v>152.49999995600001</v>
      </c>
      <c r="L39" s="108">
        <f>INDEX(Starter!A:A,ROW()-1)</f>
        <v>7714</v>
      </c>
      <c r="M39">
        <f>INDEX(SchnittGes4!M:M,MATCH(L39,SchnittGes4!L:L,0))+INDEX(Schnitt5!M:M,MATCH(L39,Schnitt5!L:L,0))</f>
        <v>2623</v>
      </c>
      <c r="N39">
        <f>INDEX(SchnittGes4!N:N,MATCH(L39,SchnittGes4!L:L,0))+INDEX(Schnitt5!N:N,MATCH(L39,Schnitt5!L:L,0))</f>
        <v>15</v>
      </c>
      <c r="O39">
        <f t="shared" si="7"/>
        <v>174.86666662766666</v>
      </c>
      <c r="P39">
        <f t="shared" si="8"/>
        <v>20</v>
      </c>
    </row>
    <row r="40" spans="1:16" x14ac:dyDescent="0.2">
      <c r="A40">
        <f t="shared" si="13"/>
        <v>36</v>
      </c>
      <c r="B40">
        <f t="shared" si="9"/>
        <v>38507</v>
      </c>
      <c r="C40" t="str">
        <f>IFERROR(INDEX(Starter!B:B,MATCH(B40,Starter!A:A,0)),"")</f>
        <v>Piehl, Fred</v>
      </c>
      <c r="D40" t="str">
        <f>IFERROR(INDEX(Starter!C:C,MATCH(B40,Starter!A:A,0)),"")</f>
        <v>Kings Club Bayreuth</v>
      </c>
      <c r="E40" s="92">
        <f t="shared" si="10"/>
        <v>444</v>
      </c>
      <c r="F40">
        <f t="shared" si="11"/>
        <v>3</v>
      </c>
      <c r="G40" s="169">
        <f t="shared" si="12"/>
        <v>147.99999999400001</v>
      </c>
      <c r="L40" s="108">
        <f>INDEX(Starter!A:A,ROW()-1)</f>
        <v>25811</v>
      </c>
      <c r="M40">
        <f>INDEX(SchnittGes4!M:M,MATCH(L40,SchnittGes4!L:L,0))+INDEX(Schnitt5!M:M,MATCH(L40,Schnitt5!L:L,0))</f>
        <v>4325</v>
      </c>
      <c r="N40">
        <f>INDEX(SchnittGes4!N:N,MATCH(L40,SchnittGes4!L:L,0))+INDEX(Schnitt5!N:N,MATCH(L40,Schnitt5!L:L,0))</f>
        <v>25</v>
      </c>
      <c r="O40">
        <f t="shared" si="7"/>
        <v>172.99999996</v>
      </c>
      <c r="P40">
        <f t="shared" si="8"/>
        <v>22</v>
      </c>
    </row>
    <row r="41" spans="1:16" x14ac:dyDescent="0.2">
      <c r="A41">
        <f t="shared" si="13"/>
        <v>37</v>
      </c>
      <c r="B41">
        <f t="shared" si="9"/>
        <v>7123</v>
      </c>
      <c r="C41" t="str">
        <f>IFERROR(INDEX(Starter!B:B,MATCH(B41,Starter!A:A,0)),"")</f>
        <v>Reichert, Roland</v>
      </c>
      <c r="D41" t="str">
        <f>IFERROR(INDEX(Starter!C:C,MATCH(B41,Starter!A:A,0)),"")</f>
        <v>Kings Club Bayreuth</v>
      </c>
      <c r="E41" s="92">
        <f t="shared" si="10"/>
        <v>3688</v>
      </c>
      <c r="F41">
        <f t="shared" si="11"/>
        <v>25</v>
      </c>
      <c r="G41" s="169">
        <f t="shared" si="12"/>
        <v>147.51999999700001</v>
      </c>
      <c r="L41" s="108">
        <f>INDEX(Starter!A:A,ROW()-1)</f>
        <v>25944</v>
      </c>
      <c r="M41">
        <f>INDEX(SchnittGes4!M:M,MATCH(L41,SchnittGes4!L:L,0))+INDEX(Schnitt5!M:M,MATCH(L41,Schnitt5!L:L,0))</f>
        <v>2146</v>
      </c>
      <c r="N41">
        <f>INDEX(SchnittGes4!N:N,MATCH(L41,SchnittGes4!L:L,0))+INDEX(Schnitt5!N:N,MATCH(L41,Schnitt5!L:L,0))</f>
        <v>13</v>
      </c>
      <c r="O41">
        <f t="shared" si="7"/>
        <v>165.07692303592307</v>
      </c>
      <c r="P41">
        <f t="shared" si="8"/>
        <v>28</v>
      </c>
    </row>
    <row r="42" spans="1:16" x14ac:dyDescent="0.2">
      <c r="A42">
        <f t="shared" si="13"/>
        <v>38</v>
      </c>
      <c r="B42">
        <f t="shared" si="9"/>
        <v>38152</v>
      </c>
      <c r="C42" t="str">
        <f>IFERROR(INDEX(Starter!B:B,MATCH(B42,Starter!A:A,0)),"")</f>
        <v>Hirsch, Edmund</v>
      </c>
      <c r="D42" t="str">
        <f>IFERROR(INDEX(Starter!C:C,MATCH(B42,Starter!A:A,0)),"")</f>
        <v>Kings Club Bayreuth</v>
      </c>
      <c r="E42" s="92">
        <f t="shared" si="10"/>
        <v>282</v>
      </c>
      <c r="F42">
        <f t="shared" si="11"/>
        <v>2</v>
      </c>
      <c r="G42" s="169">
        <f t="shared" si="12"/>
        <v>140.99999998800001</v>
      </c>
      <c r="L42" s="108">
        <f>INDEX(Starter!A:A,ROW()-1)</f>
        <v>16707</v>
      </c>
      <c r="M42">
        <f>INDEX(SchnittGes4!M:M,MATCH(L42,SchnittGes4!L:L,0))+INDEX(Schnitt5!M:M,MATCH(L42,Schnitt5!L:L,0))</f>
        <v>4448</v>
      </c>
      <c r="N42">
        <f>INDEX(SchnittGes4!N:N,MATCH(L42,SchnittGes4!L:L,0))+INDEX(Schnitt5!N:N,MATCH(L42,Schnitt5!L:L,0))</f>
        <v>25</v>
      </c>
      <c r="O42">
        <f t="shared" si="7"/>
        <v>177.91999995799998</v>
      </c>
      <c r="P42">
        <f t="shared" si="8"/>
        <v>18</v>
      </c>
    </row>
    <row r="43" spans="1:16" x14ac:dyDescent="0.2">
      <c r="A43" t="str">
        <f t="shared" si="13"/>
        <v/>
      </c>
      <c r="B43" t="str">
        <f t="shared" si="9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92" t="str">
        <f t="shared" si="10"/>
        <v/>
      </c>
      <c r="F43" t="str">
        <f t="shared" si="11"/>
        <v/>
      </c>
      <c r="G43" s="169" t="str">
        <f t="shared" si="12"/>
        <v/>
      </c>
      <c r="L43" s="108">
        <f>INDEX(Starter!A:A,ROW()-1)</f>
        <v>25760</v>
      </c>
      <c r="M43">
        <f>INDEX(SchnittGes4!M:M,MATCH(L43,SchnittGes4!L:L,0))+INDEX(Schnitt5!M:M,MATCH(L43,Schnitt5!L:L,0))</f>
        <v>4704</v>
      </c>
      <c r="N43">
        <f>INDEX(SchnittGes4!N:N,MATCH(L43,SchnittGes4!L:L,0))+INDEX(Schnitt5!N:N,MATCH(L43,Schnitt5!L:L,0))</f>
        <v>25</v>
      </c>
      <c r="O43">
        <f t="shared" si="7"/>
        <v>188.159999957</v>
      </c>
      <c r="P43">
        <f t="shared" si="8"/>
        <v>5</v>
      </c>
    </row>
    <row r="44" spans="1:16" x14ac:dyDescent="0.2">
      <c r="A44" t="str">
        <f t="shared" si="13"/>
        <v/>
      </c>
      <c r="B44" t="str">
        <f t="shared" si="9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92" t="str">
        <f t="shared" si="10"/>
        <v/>
      </c>
      <c r="F44" t="str">
        <f t="shared" si="11"/>
        <v/>
      </c>
      <c r="G44" s="169" t="str">
        <f t="shared" si="12"/>
        <v/>
      </c>
      <c r="L44" s="108">
        <f>INDEX(Starter!A:A,ROW()-1)</f>
        <v>16897</v>
      </c>
      <c r="M44">
        <f>INDEX(SchnittGes4!M:M,MATCH(L44,SchnittGes4!L:L,0))+INDEX(Schnitt5!M:M,MATCH(L44,Schnitt5!L:L,0))</f>
        <v>305</v>
      </c>
      <c r="N44">
        <f>INDEX(SchnittGes4!N:N,MATCH(L44,SchnittGes4!L:L,0))+INDEX(Schnitt5!N:N,MATCH(L44,Schnitt5!L:L,0))</f>
        <v>2</v>
      </c>
      <c r="O44">
        <f t="shared" si="7"/>
        <v>152.49999995600001</v>
      </c>
      <c r="P44">
        <f t="shared" si="8"/>
        <v>35</v>
      </c>
    </row>
    <row r="45" spans="1:16" x14ac:dyDescent="0.2">
      <c r="A45" t="str">
        <f t="shared" si="13"/>
        <v/>
      </c>
      <c r="B45" t="str">
        <f t="shared" si="9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92" t="str">
        <f t="shared" si="10"/>
        <v/>
      </c>
      <c r="F45" t="str">
        <f t="shared" si="11"/>
        <v/>
      </c>
      <c r="G45" s="169" t="str">
        <f t="shared" si="12"/>
        <v/>
      </c>
      <c r="L45" s="108">
        <f>INDEX(Starter!A:A,ROW()-1)</f>
        <v>7126</v>
      </c>
      <c r="M45">
        <f>INDEX(SchnittGes4!M:M,MATCH(L45,SchnittGes4!L:L,0))+INDEX(Schnitt5!M:M,MATCH(L45,Schnitt5!L:L,0))</f>
        <v>960</v>
      </c>
      <c r="N45">
        <f>INDEX(SchnittGes4!N:N,MATCH(L45,SchnittGes4!L:L,0))+INDEX(Schnitt5!N:N,MATCH(L45,Schnitt5!L:L,0))</f>
        <v>5</v>
      </c>
      <c r="O45">
        <f t="shared" si="7"/>
        <v>191.99999995499999</v>
      </c>
      <c r="P45">
        <f t="shared" si="8"/>
        <v>2</v>
      </c>
    </row>
    <row r="46" spans="1:16" x14ac:dyDescent="0.2">
      <c r="A46" t="str">
        <f t="shared" si="13"/>
        <v/>
      </c>
      <c r="B46" t="str">
        <f t="shared" si="9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92" t="str">
        <f t="shared" si="10"/>
        <v/>
      </c>
      <c r="F46" t="str">
        <f t="shared" si="11"/>
        <v/>
      </c>
      <c r="G46" s="169" t="str">
        <f t="shared" si="12"/>
        <v/>
      </c>
      <c r="L46" s="108">
        <f>INDEX(Starter!A:A,ROW()-1)</f>
        <v>0</v>
      </c>
      <c r="M46">
        <f>INDEX(SchnittGes4!M:M,MATCH(L46,SchnittGes4!L:L,0))+INDEX(Schnitt5!M:M,MATCH(L46,Schnitt5!L:L,0))</f>
        <v>0</v>
      </c>
      <c r="N46">
        <f>INDEX(SchnittGes4!N:N,MATCH(L46,SchnittGes4!L:L,0))+INDEX(Schnitt5!N:N,MATCH(L46,Schnitt5!L:L,0))</f>
        <v>0</v>
      </c>
      <c r="O46">
        <f t="shared" si="7"/>
        <v>0</v>
      </c>
      <c r="P46">
        <f t="shared" si="8"/>
        <v>39</v>
      </c>
    </row>
    <row r="47" spans="1:16" x14ac:dyDescent="0.2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92" t="str">
        <f t="shared" si="10"/>
        <v/>
      </c>
      <c r="F47" t="str">
        <f t="shared" si="11"/>
        <v/>
      </c>
      <c r="G47" s="169" t="str">
        <f t="shared" si="12"/>
        <v/>
      </c>
      <c r="L47" s="108">
        <f>INDEX(Starter!A:A,ROW()-1)</f>
        <v>0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39</v>
      </c>
    </row>
    <row r="48" spans="1:16" x14ac:dyDescent="0.2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92" t="str">
        <f t="shared" si="10"/>
        <v/>
      </c>
      <c r="F48" t="str">
        <f t="shared" si="11"/>
        <v/>
      </c>
      <c r="G48" s="169" t="str">
        <f t="shared" si="12"/>
        <v/>
      </c>
      <c r="L48" s="108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39</v>
      </c>
    </row>
    <row r="49" spans="1:16" x14ac:dyDescent="0.2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92" t="str">
        <f t="shared" si="10"/>
        <v/>
      </c>
      <c r="F49" t="str">
        <f t="shared" si="11"/>
        <v/>
      </c>
      <c r="G49" s="169" t="str">
        <f t="shared" si="12"/>
        <v/>
      </c>
      <c r="L49" s="108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39</v>
      </c>
    </row>
    <row r="50" spans="1:16" x14ac:dyDescent="0.2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92" t="str">
        <f t="shared" si="10"/>
        <v/>
      </c>
      <c r="F50" t="str">
        <f t="shared" si="11"/>
        <v/>
      </c>
      <c r="G50" s="169" t="str">
        <f t="shared" si="12"/>
        <v/>
      </c>
      <c r="L50" s="108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39</v>
      </c>
    </row>
    <row r="51" spans="1:16" x14ac:dyDescent="0.2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92" t="str">
        <f t="shared" si="10"/>
        <v/>
      </c>
      <c r="F51" t="str">
        <f t="shared" si="11"/>
        <v/>
      </c>
      <c r="G51" s="169" t="str">
        <f t="shared" si="12"/>
        <v/>
      </c>
      <c r="L51" s="108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39</v>
      </c>
    </row>
    <row r="52" spans="1:16" x14ac:dyDescent="0.2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92" t="str">
        <f t="shared" si="10"/>
        <v/>
      </c>
      <c r="F52" t="str">
        <f t="shared" si="11"/>
        <v/>
      </c>
      <c r="G52" s="169" t="str">
        <f t="shared" si="12"/>
        <v/>
      </c>
      <c r="L52" s="108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39</v>
      </c>
    </row>
    <row r="53" spans="1:16" x14ac:dyDescent="0.2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92" t="str">
        <f t="shared" si="10"/>
        <v/>
      </c>
      <c r="F53" t="str">
        <f t="shared" si="11"/>
        <v/>
      </c>
      <c r="G53" s="169" t="str">
        <f t="shared" si="12"/>
        <v/>
      </c>
      <c r="L53" s="108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39</v>
      </c>
    </row>
    <row r="54" spans="1:16" x14ac:dyDescent="0.2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92" t="str">
        <f t="shared" si="10"/>
        <v/>
      </c>
      <c r="F54" t="str">
        <f t="shared" si="11"/>
        <v/>
      </c>
      <c r="G54" s="169" t="str">
        <f t="shared" si="12"/>
        <v/>
      </c>
      <c r="L54" s="108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39</v>
      </c>
    </row>
    <row r="55" spans="1:16" x14ac:dyDescent="0.2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92" t="str">
        <f t="shared" si="10"/>
        <v/>
      </c>
      <c r="F55" t="str">
        <f t="shared" si="11"/>
        <v/>
      </c>
      <c r="G55" s="169" t="str">
        <f t="shared" si="12"/>
        <v/>
      </c>
      <c r="L55" s="108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39</v>
      </c>
    </row>
    <row r="56" spans="1:16" x14ac:dyDescent="0.2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92" t="str">
        <f t="shared" si="10"/>
        <v/>
      </c>
      <c r="F56" t="str">
        <f t="shared" si="11"/>
        <v/>
      </c>
      <c r="G56" s="169" t="str">
        <f t="shared" si="12"/>
        <v/>
      </c>
      <c r="L56" s="108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39</v>
      </c>
    </row>
    <row r="57" spans="1:16" x14ac:dyDescent="0.2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92" t="str">
        <f t="shared" si="10"/>
        <v/>
      </c>
      <c r="F57" t="str">
        <f t="shared" si="11"/>
        <v/>
      </c>
      <c r="G57" s="169" t="str">
        <f t="shared" si="12"/>
        <v/>
      </c>
      <c r="L57" s="108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39</v>
      </c>
    </row>
    <row r="58" spans="1:16" x14ac:dyDescent="0.2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92" t="str">
        <f t="shared" si="10"/>
        <v/>
      </c>
      <c r="F58" t="str">
        <f t="shared" si="11"/>
        <v/>
      </c>
      <c r="G58" s="169" t="str">
        <f t="shared" si="12"/>
        <v/>
      </c>
      <c r="L58" s="108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39</v>
      </c>
    </row>
    <row r="59" spans="1:16" x14ac:dyDescent="0.2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92" t="str">
        <f t="shared" si="10"/>
        <v/>
      </c>
      <c r="F59" t="str">
        <f t="shared" si="11"/>
        <v/>
      </c>
      <c r="G59" s="169" t="str">
        <f t="shared" si="12"/>
        <v/>
      </c>
      <c r="L59" s="108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39</v>
      </c>
    </row>
    <row r="60" spans="1:16" x14ac:dyDescent="0.2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92" t="str">
        <f t="shared" si="10"/>
        <v/>
      </c>
      <c r="F60" t="str">
        <f t="shared" si="11"/>
        <v/>
      </c>
      <c r="G60" s="169" t="str">
        <f t="shared" si="12"/>
        <v/>
      </c>
      <c r="L60" s="108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39</v>
      </c>
    </row>
    <row r="61" spans="1:16" x14ac:dyDescent="0.2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92" t="str">
        <f t="shared" si="10"/>
        <v/>
      </c>
      <c r="F61" t="str">
        <f t="shared" si="11"/>
        <v/>
      </c>
      <c r="G61" s="169" t="str">
        <f t="shared" si="12"/>
        <v/>
      </c>
      <c r="L61" s="108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39</v>
      </c>
    </row>
    <row r="62" spans="1:16" x14ac:dyDescent="0.2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92" t="str">
        <f t="shared" si="10"/>
        <v/>
      </c>
      <c r="F62" t="str">
        <f t="shared" si="11"/>
        <v/>
      </c>
      <c r="G62" s="169" t="str">
        <f t="shared" si="12"/>
        <v/>
      </c>
      <c r="L62" s="108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39</v>
      </c>
    </row>
    <row r="63" spans="1:16" x14ac:dyDescent="0.2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92" t="str">
        <f t="shared" si="10"/>
        <v/>
      </c>
      <c r="F63" t="str">
        <f t="shared" si="11"/>
        <v/>
      </c>
      <c r="G63" s="169" t="str">
        <f t="shared" si="12"/>
        <v/>
      </c>
      <c r="L63" s="108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39</v>
      </c>
    </row>
    <row r="64" spans="1:16" x14ac:dyDescent="0.2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92" t="str">
        <f t="shared" si="10"/>
        <v/>
      </c>
      <c r="F64" t="str">
        <f t="shared" si="11"/>
        <v/>
      </c>
      <c r="G64" s="169" t="str">
        <f t="shared" si="12"/>
        <v/>
      </c>
      <c r="L64" s="108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39</v>
      </c>
    </row>
    <row r="65" spans="1:16" x14ac:dyDescent="0.2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92" t="str">
        <f t="shared" si="10"/>
        <v/>
      </c>
      <c r="F65" t="str">
        <f t="shared" si="11"/>
        <v/>
      </c>
      <c r="G65" s="169" t="str">
        <f t="shared" si="12"/>
        <v/>
      </c>
      <c r="L65" s="108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39</v>
      </c>
    </row>
    <row r="66" spans="1:16" x14ac:dyDescent="0.2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92" t="str">
        <f t="shared" si="10"/>
        <v/>
      </c>
      <c r="F66" t="str">
        <f t="shared" si="11"/>
        <v/>
      </c>
      <c r="G66" s="169" t="str">
        <f t="shared" si="12"/>
        <v/>
      </c>
      <c r="L66" s="108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39</v>
      </c>
    </row>
    <row r="67" spans="1:16" x14ac:dyDescent="0.2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92" t="str">
        <f t="shared" si="10"/>
        <v/>
      </c>
      <c r="F67" t="str">
        <f t="shared" si="11"/>
        <v/>
      </c>
      <c r="G67" s="169" t="str">
        <f t="shared" si="12"/>
        <v/>
      </c>
      <c r="L67" s="108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39</v>
      </c>
    </row>
    <row r="68" spans="1:16" x14ac:dyDescent="0.2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92" t="str">
        <f t="shared" si="10"/>
        <v/>
      </c>
      <c r="F68" t="str">
        <f t="shared" si="11"/>
        <v/>
      </c>
      <c r="G68" s="169" t="str">
        <f t="shared" si="12"/>
        <v/>
      </c>
      <c r="L68" s="108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39</v>
      </c>
    </row>
    <row r="69" spans="1:16" x14ac:dyDescent="0.2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92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69" t="str">
        <f t="shared" ref="G69:G104" si="19">IFERROR(INDEX(O:O,MATCH(A69,P:P,0)),"")</f>
        <v/>
      </c>
      <c r="L69" s="108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39</v>
      </c>
    </row>
    <row r="70" spans="1:16" x14ac:dyDescent="0.2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92" t="str">
        <f t="shared" si="17"/>
        <v/>
      </c>
      <c r="F70" t="str">
        <f t="shared" si="18"/>
        <v/>
      </c>
      <c r="G70" s="169" t="str">
        <f t="shared" si="19"/>
        <v/>
      </c>
      <c r="L70" s="108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39</v>
      </c>
    </row>
    <row r="71" spans="1:16" x14ac:dyDescent="0.2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92" t="str">
        <f t="shared" si="17"/>
        <v/>
      </c>
      <c r="F71" t="str">
        <f t="shared" si="18"/>
        <v/>
      </c>
      <c r="G71" s="169" t="str">
        <f t="shared" si="19"/>
        <v/>
      </c>
      <c r="L71" s="108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39</v>
      </c>
    </row>
    <row r="72" spans="1:16" x14ac:dyDescent="0.2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92" t="str">
        <f t="shared" si="17"/>
        <v/>
      </c>
      <c r="F72" t="str">
        <f t="shared" si="18"/>
        <v/>
      </c>
      <c r="G72" s="169" t="str">
        <f t="shared" si="19"/>
        <v/>
      </c>
      <c r="L72" s="108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39</v>
      </c>
    </row>
    <row r="73" spans="1:16" x14ac:dyDescent="0.2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92" t="str">
        <f t="shared" si="17"/>
        <v/>
      </c>
      <c r="F73" t="str">
        <f t="shared" si="18"/>
        <v/>
      </c>
      <c r="G73" s="169" t="str">
        <f t="shared" si="19"/>
        <v/>
      </c>
      <c r="L73" s="108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39</v>
      </c>
    </row>
    <row r="74" spans="1:16" x14ac:dyDescent="0.2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92" t="str">
        <f t="shared" si="17"/>
        <v/>
      </c>
      <c r="F74" t="str">
        <f t="shared" si="18"/>
        <v/>
      </c>
      <c r="G74" s="169" t="str">
        <f t="shared" si="19"/>
        <v/>
      </c>
      <c r="L74" s="108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39</v>
      </c>
    </row>
    <row r="75" spans="1:16" x14ac:dyDescent="0.2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92" t="str">
        <f t="shared" si="17"/>
        <v/>
      </c>
      <c r="F75" t="str">
        <f t="shared" si="18"/>
        <v/>
      </c>
      <c r="G75" s="169" t="str">
        <f t="shared" si="19"/>
        <v/>
      </c>
      <c r="L75" s="108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39</v>
      </c>
    </row>
    <row r="76" spans="1:16" x14ac:dyDescent="0.2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92" t="str">
        <f t="shared" si="17"/>
        <v/>
      </c>
      <c r="F76" t="str">
        <f t="shared" si="18"/>
        <v/>
      </c>
      <c r="G76" s="169" t="str">
        <f t="shared" si="19"/>
        <v/>
      </c>
      <c r="L76" s="108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39</v>
      </c>
    </row>
    <row r="77" spans="1:16" x14ac:dyDescent="0.2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92" t="str">
        <f t="shared" si="17"/>
        <v/>
      </c>
      <c r="F77" t="str">
        <f t="shared" si="18"/>
        <v/>
      </c>
      <c r="G77" s="169" t="str">
        <f t="shared" si="19"/>
        <v/>
      </c>
      <c r="L77" s="108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39</v>
      </c>
    </row>
    <row r="78" spans="1:16" x14ac:dyDescent="0.2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92" t="str">
        <f t="shared" si="17"/>
        <v/>
      </c>
      <c r="F78" t="str">
        <f t="shared" si="18"/>
        <v/>
      </c>
      <c r="G78" s="169" t="str">
        <f t="shared" si="19"/>
        <v/>
      </c>
      <c r="L78" s="108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39</v>
      </c>
    </row>
    <row r="79" spans="1:16" x14ac:dyDescent="0.2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92" t="str">
        <f t="shared" si="17"/>
        <v/>
      </c>
      <c r="F79" t="str">
        <f t="shared" si="18"/>
        <v/>
      </c>
      <c r="G79" s="169" t="str">
        <f t="shared" si="19"/>
        <v/>
      </c>
      <c r="L79" s="108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39</v>
      </c>
    </row>
    <row r="80" spans="1:16" x14ac:dyDescent="0.2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92" t="str">
        <f t="shared" si="17"/>
        <v/>
      </c>
      <c r="F80" t="str">
        <f t="shared" si="18"/>
        <v/>
      </c>
      <c r="G80" s="169" t="str">
        <f t="shared" si="19"/>
        <v/>
      </c>
      <c r="L80" s="108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39</v>
      </c>
    </row>
    <row r="81" spans="1:16" x14ac:dyDescent="0.2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92" t="str">
        <f t="shared" si="17"/>
        <v/>
      </c>
      <c r="F81" t="str">
        <f t="shared" si="18"/>
        <v/>
      </c>
      <c r="G81" s="169" t="str">
        <f t="shared" si="19"/>
        <v/>
      </c>
      <c r="L81" s="108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39</v>
      </c>
    </row>
    <row r="82" spans="1:16" x14ac:dyDescent="0.2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92" t="str">
        <f t="shared" si="17"/>
        <v/>
      </c>
      <c r="F82" t="str">
        <f t="shared" si="18"/>
        <v/>
      </c>
      <c r="G82" s="169" t="str">
        <f t="shared" si="19"/>
        <v/>
      </c>
      <c r="L82" s="108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39</v>
      </c>
    </row>
    <row r="83" spans="1:16" x14ac:dyDescent="0.2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92" t="str">
        <f t="shared" si="17"/>
        <v/>
      </c>
      <c r="F83" t="str">
        <f t="shared" si="18"/>
        <v/>
      </c>
      <c r="G83" s="169" t="str">
        <f t="shared" si="19"/>
        <v/>
      </c>
      <c r="L83" s="108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39</v>
      </c>
    </row>
    <row r="84" spans="1:16" x14ac:dyDescent="0.2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92" t="str">
        <f t="shared" si="17"/>
        <v/>
      </c>
      <c r="F84" t="str">
        <f t="shared" si="18"/>
        <v/>
      </c>
      <c r="G84" s="169" t="str">
        <f t="shared" si="19"/>
        <v/>
      </c>
      <c r="L84" s="108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39</v>
      </c>
    </row>
    <row r="85" spans="1:16" x14ac:dyDescent="0.2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92" t="str">
        <f t="shared" si="17"/>
        <v/>
      </c>
      <c r="F85" t="str">
        <f t="shared" si="18"/>
        <v/>
      </c>
      <c r="G85" s="169" t="str">
        <f t="shared" si="19"/>
        <v/>
      </c>
      <c r="L85" s="108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39</v>
      </c>
    </row>
    <row r="86" spans="1:16" x14ac:dyDescent="0.2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92" t="str">
        <f t="shared" si="17"/>
        <v/>
      </c>
      <c r="F86" t="str">
        <f t="shared" si="18"/>
        <v/>
      </c>
      <c r="G86" s="169" t="str">
        <f t="shared" si="19"/>
        <v/>
      </c>
      <c r="L86" s="108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39</v>
      </c>
    </row>
    <row r="87" spans="1:16" x14ac:dyDescent="0.2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92" t="str">
        <f t="shared" si="17"/>
        <v/>
      </c>
      <c r="F87" t="str">
        <f t="shared" si="18"/>
        <v/>
      </c>
      <c r="G87" s="169" t="str">
        <f t="shared" si="19"/>
        <v/>
      </c>
      <c r="L87" s="108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39</v>
      </c>
    </row>
    <row r="88" spans="1:16" x14ac:dyDescent="0.2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92" t="str">
        <f t="shared" si="17"/>
        <v/>
      </c>
      <c r="F88" t="str">
        <f t="shared" si="18"/>
        <v/>
      </c>
      <c r="G88" s="169" t="str">
        <f t="shared" si="19"/>
        <v/>
      </c>
      <c r="L88" s="108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39</v>
      </c>
    </row>
    <row r="89" spans="1:16" x14ac:dyDescent="0.2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92" t="str">
        <f t="shared" si="17"/>
        <v/>
      </c>
      <c r="F89" t="str">
        <f t="shared" si="18"/>
        <v/>
      </c>
      <c r="G89" s="169" t="str">
        <f t="shared" si="19"/>
        <v/>
      </c>
      <c r="L89" s="108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39</v>
      </c>
    </row>
    <row r="90" spans="1:16" x14ac:dyDescent="0.2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92" t="str">
        <f t="shared" si="17"/>
        <v/>
      </c>
      <c r="F90" t="str">
        <f t="shared" si="18"/>
        <v/>
      </c>
      <c r="G90" s="169" t="str">
        <f t="shared" si="19"/>
        <v/>
      </c>
      <c r="L90" s="108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39</v>
      </c>
    </row>
    <row r="91" spans="1:16" x14ac:dyDescent="0.2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92" t="str">
        <f t="shared" si="17"/>
        <v/>
      </c>
      <c r="F91" t="str">
        <f t="shared" si="18"/>
        <v/>
      </c>
      <c r="G91" s="169" t="str">
        <f t="shared" si="19"/>
        <v/>
      </c>
      <c r="L91" s="108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39</v>
      </c>
    </row>
    <row r="92" spans="1:16" x14ac:dyDescent="0.2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92" t="str">
        <f t="shared" si="17"/>
        <v/>
      </c>
      <c r="F92" t="str">
        <f t="shared" si="18"/>
        <v/>
      </c>
      <c r="G92" s="169" t="str">
        <f t="shared" si="19"/>
        <v/>
      </c>
      <c r="L92" s="108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39</v>
      </c>
    </row>
    <row r="93" spans="1:16" x14ac:dyDescent="0.2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92" t="str">
        <f t="shared" si="17"/>
        <v/>
      </c>
      <c r="F93" t="str">
        <f t="shared" si="18"/>
        <v/>
      </c>
      <c r="G93" s="169" t="str">
        <f t="shared" si="19"/>
        <v/>
      </c>
      <c r="L93" s="108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39</v>
      </c>
    </row>
    <row r="94" spans="1:16" x14ac:dyDescent="0.2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92" t="str">
        <f t="shared" si="17"/>
        <v/>
      </c>
      <c r="F94" t="str">
        <f t="shared" si="18"/>
        <v/>
      </c>
      <c r="G94" s="169" t="str">
        <f t="shared" si="19"/>
        <v/>
      </c>
      <c r="L94" s="108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39</v>
      </c>
    </row>
    <row r="95" spans="1:16" x14ac:dyDescent="0.2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92" t="str">
        <f t="shared" si="17"/>
        <v/>
      </c>
      <c r="F95" t="str">
        <f t="shared" si="18"/>
        <v/>
      </c>
      <c r="G95" s="169" t="str">
        <f t="shared" si="19"/>
        <v/>
      </c>
      <c r="L95" s="108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39</v>
      </c>
    </row>
    <row r="96" spans="1:16" x14ac:dyDescent="0.2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92" t="str">
        <f t="shared" si="17"/>
        <v/>
      </c>
      <c r="F96" t="str">
        <f t="shared" si="18"/>
        <v/>
      </c>
      <c r="G96" s="169" t="str">
        <f t="shared" si="19"/>
        <v/>
      </c>
      <c r="L96" s="108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39</v>
      </c>
    </row>
    <row r="97" spans="1:16" x14ac:dyDescent="0.2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92" t="str">
        <f t="shared" si="17"/>
        <v/>
      </c>
      <c r="F97" t="str">
        <f t="shared" si="18"/>
        <v/>
      </c>
      <c r="G97" s="169" t="str">
        <f t="shared" si="19"/>
        <v/>
      </c>
      <c r="L97" s="108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39</v>
      </c>
    </row>
    <row r="98" spans="1:16" x14ac:dyDescent="0.2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92" t="str">
        <f t="shared" si="17"/>
        <v/>
      </c>
      <c r="F98" t="str">
        <f t="shared" si="18"/>
        <v/>
      </c>
      <c r="G98" s="169" t="str">
        <f t="shared" si="19"/>
        <v/>
      </c>
      <c r="L98" s="108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39</v>
      </c>
    </row>
    <row r="99" spans="1:16" x14ac:dyDescent="0.2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92" t="str">
        <f t="shared" si="17"/>
        <v/>
      </c>
      <c r="F99" t="str">
        <f t="shared" si="18"/>
        <v/>
      </c>
      <c r="G99" s="169" t="str">
        <f t="shared" si="19"/>
        <v/>
      </c>
      <c r="L99" s="108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39</v>
      </c>
    </row>
    <row r="100" spans="1:16" x14ac:dyDescent="0.2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92" t="str">
        <f t="shared" si="17"/>
        <v/>
      </c>
      <c r="F100" t="str">
        <f t="shared" si="18"/>
        <v/>
      </c>
      <c r="G100" s="169" t="str">
        <f t="shared" si="19"/>
        <v/>
      </c>
      <c r="L100" s="108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39</v>
      </c>
    </row>
    <row r="101" spans="1:16" x14ac:dyDescent="0.2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92" t="str">
        <f t="shared" si="17"/>
        <v/>
      </c>
      <c r="F101" t="str">
        <f t="shared" si="18"/>
        <v/>
      </c>
      <c r="G101" s="169" t="str">
        <f t="shared" si="19"/>
        <v/>
      </c>
      <c r="L101" s="108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39</v>
      </c>
    </row>
    <row r="102" spans="1:16" x14ac:dyDescent="0.2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92" t="str">
        <f t="shared" si="17"/>
        <v/>
      </c>
      <c r="F102" t="str">
        <f t="shared" si="18"/>
        <v/>
      </c>
      <c r="G102" s="169" t="str">
        <f t="shared" si="19"/>
        <v/>
      </c>
      <c r="L102" s="108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39</v>
      </c>
    </row>
    <row r="103" spans="1:16" x14ac:dyDescent="0.2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92" t="str">
        <f t="shared" si="17"/>
        <v/>
      </c>
      <c r="F103" t="str">
        <f t="shared" si="18"/>
        <v/>
      </c>
      <c r="G103" s="169" t="str">
        <f t="shared" si="19"/>
        <v/>
      </c>
      <c r="L103" s="108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39</v>
      </c>
    </row>
    <row r="104" spans="1:16" x14ac:dyDescent="0.2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92" t="str">
        <f t="shared" si="17"/>
        <v/>
      </c>
      <c r="F104" t="str">
        <f t="shared" si="18"/>
        <v/>
      </c>
      <c r="G104" s="169" t="str">
        <f t="shared" si="19"/>
        <v/>
      </c>
      <c r="L104" s="108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39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7C621-6203-420B-9439-DB769A97AFF5}">
  <sheetPr>
    <tabColor theme="1"/>
    <pageSetUpPr autoPageBreaks="0"/>
  </sheetPr>
  <dimension ref="A1:V86"/>
  <sheetViews>
    <sheetView showGridLines="0" zoomScaleNormal="100" workbookViewId="0">
      <selection activeCell="O12" sqref="O1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+Spielzettel6!M2</f>
        <v>6</v>
      </c>
      <c r="F6" s="336"/>
      <c r="P6" s="128" t="s">
        <v>1825</v>
      </c>
      <c r="Q6" s="337" t="str">
        <f>+Spielzettel6!L1</f>
        <v>27.04.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+Spielzettel6!D2</f>
        <v>Regensburg Super Bowl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+Spielzettel6!D1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/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/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/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/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2413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hidden="1" customHeight="1" x14ac:dyDescent="0.2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/>
      <c r="I31" s="145"/>
      <c r="J31" s="147" t="s">
        <v>1841</v>
      </c>
      <c r="K31" s="147"/>
      <c r="L31" s="146"/>
      <c r="M31" s="147" t="s">
        <v>1830</v>
      </c>
      <c r="N31" s="147"/>
      <c r="O31" s="147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/>
      <c r="H34" t="s">
        <v>1832</v>
      </c>
      <c r="J34" s="137"/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/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/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/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E1DC2-0808-41B0-BD09-3FC5EA578A7F}">
  <sheetPr>
    <tabColor rgb="FFFF0000"/>
  </sheetPr>
  <dimension ref="A1:AC174"/>
  <sheetViews>
    <sheetView view="pageBreakPreview" topLeftCell="A85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Schlüssel!DI$1</f>
        <v>27.04.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Schlüssel!$CY$2</f>
        <v>Regensburg Super Bowl</v>
      </c>
      <c r="F2" s="77"/>
      <c r="G2" s="77"/>
      <c r="H2" s="77"/>
      <c r="I2" s="77"/>
      <c r="K2" s="77"/>
      <c r="L2" s="29" t="s">
        <v>1784</v>
      </c>
      <c r="M2" s="34">
        <v>6</v>
      </c>
      <c r="N2" s="28"/>
      <c r="AC2" s="91">
        <v>11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VLOOKUP(B2,Schlüssel!$A$5:$DZ$10,113)</f>
        <v>15</v>
      </c>
      <c r="F4" s="47" t="s">
        <v>10</v>
      </c>
      <c r="G4" s="7">
        <f>VLOOKUP(B2,Schlüssel!$A$5:$DZ$10,114)</f>
        <v>11</v>
      </c>
      <c r="H4" s="47" t="s">
        <v>10</v>
      </c>
      <c r="I4" s="7">
        <f>VLOOKUP(B2,Schlüssel!$A$5:$DZ$10,115)</f>
        <v>16</v>
      </c>
      <c r="J4" s="47" t="s">
        <v>10</v>
      </c>
      <c r="K4" s="7">
        <f>VLOOKUP(B2,Schlüssel!$A$5:$DZ$10,116)</f>
        <v>12</v>
      </c>
      <c r="L4" s="47" t="s">
        <v>10</v>
      </c>
      <c r="M4" s="67">
        <f>VLOOKUP(B2,Schlüssel!$A$5:$DZ$10,117)</f>
        <v>15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VLOOKUP(B2,Schlüssel!$A$5:$DZ$10,103)</f>
        <v>2</v>
      </c>
      <c r="E22" s="350"/>
      <c r="F22" s="350">
        <f>VLOOKUP(B2,Schlüssel!$A$5:$DZ$10,104)</f>
        <v>6</v>
      </c>
      <c r="G22" s="350"/>
      <c r="H22" s="350">
        <f>VLOOKUP(B2,Schlüssel!$A$5:$DZ$10,105)</f>
        <v>3</v>
      </c>
      <c r="I22" s="350"/>
      <c r="J22" s="350">
        <f>VLOOKUP(B2,Schlüssel!$A$5:$DZ$10,106)</f>
        <v>4</v>
      </c>
      <c r="K22" s="350"/>
      <c r="L22" s="350">
        <f>VLOOKUP(B2,Schlüssel!$A$5:$DZ$10,107)</f>
        <v>5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Herzogenaurach 1</v>
      </c>
      <c r="E23" s="348"/>
      <c r="F23" s="347" t="str">
        <f>VLOOKUP(F22,Schlüssel!$A$5:$K$10,2)</f>
        <v>Adler Nürnberg 1</v>
      </c>
      <c r="G23" s="348"/>
      <c r="H23" s="347" t="str">
        <f>VLOOKUP(H22,Schlüssel!$A$5:$K$10,2)</f>
        <v>Kings Club Bayreuth Land 2</v>
      </c>
      <c r="I23" s="348"/>
      <c r="J23" s="347" t="str">
        <f>VLOOKUP(J22,Schlüssel!$A$5:$K$10,2)</f>
        <v>Kings Club Bayreuth Land 3</v>
      </c>
      <c r="K23" s="348"/>
      <c r="L23" s="347" t="str">
        <f>VLOOKUP(L22,Schlüssel!$A$5:$K$10,2)</f>
        <v>Castra Regina Regensburg 2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Schlüssel!DI$1</f>
        <v>27.04.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Schlüssel!$CY$2</f>
        <v>Regensburg Super Bowl</v>
      </c>
      <c r="F31" s="77"/>
      <c r="G31" s="77"/>
      <c r="H31" s="77"/>
      <c r="I31" s="77"/>
      <c r="K31" s="77"/>
      <c r="L31" s="29" t="s">
        <v>1784</v>
      </c>
      <c r="M31" s="34">
        <v>6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VLOOKUP(B31,Schlüssel!$A$5:$DZ$10,113)</f>
        <v>16</v>
      </c>
      <c r="F33" s="47" t="s">
        <v>10</v>
      </c>
      <c r="G33" s="7">
        <f>VLOOKUP(B31,Schlüssel!$A$5:$DZ$10,114)</f>
        <v>13</v>
      </c>
      <c r="H33" s="47" t="s">
        <v>10</v>
      </c>
      <c r="I33" s="7">
        <f>VLOOKUP(B31,Schlüssel!$A$5:$DZ$10,115)</f>
        <v>11</v>
      </c>
      <c r="J33" s="47" t="s">
        <v>10</v>
      </c>
      <c r="K33" s="7">
        <f>VLOOKUP(B31,Schlüssel!$A$5:$DZ$10,116)</f>
        <v>15</v>
      </c>
      <c r="L33" s="47" t="s">
        <v>10</v>
      </c>
      <c r="M33" s="67">
        <f>VLOOKUP(B31,Schlüssel!$A$5:$DZ$10,117)</f>
        <v>14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VLOOKUP(B31,Schlüssel!$A$5:$DZ$10,103)</f>
        <v>1</v>
      </c>
      <c r="E51" s="350"/>
      <c r="F51" s="350">
        <f>VLOOKUP(B31,Schlüssel!$A$5:$DZ$10,104)</f>
        <v>3</v>
      </c>
      <c r="G51" s="350"/>
      <c r="H51" s="350">
        <f>VLOOKUP(B31,Schlüssel!$A$5:$DZ$10,105)</f>
        <v>5</v>
      </c>
      <c r="I51" s="350"/>
      <c r="J51" s="350">
        <f>VLOOKUP(B31,Schlüssel!$A$5:$DZ$10,106)</f>
        <v>6</v>
      </c>
      <c r="K51" s="350"/>
      <c r="L51" s="350">
        <f>VLOOKUP(B31,Schlüssel!$A$5:$DZ$10,107)</f>
        <v>4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Castra Regina Regensburg 3</v>
      </c>
      <c r="E52" s="348"/>
      <c r="F52" s="347" t="str">
        <f>VLOOKUP(F51,Schlüssel!$A$5:$K$10,2)</f>
        <v>Kings Club Bayreuth Land 2</v>
      </c>
      <c r="G52" s="348"/>
      <c r="H52" s="347" t="str">
        <f>VLOOKUP(H51,Schlüssel!$A$5:$K$10,2)</f>
        <v>Castra Regina Regensburg 2</v>
      </c>
      <c r="I52" s="348"/>
      <c r="J52" s="347" t="str">
        <f>VLOOKUP(J51,Schlüssel!$A$5:$K$10,2)</f>
        <v>Adler Nürnberg 1</v>
      </c>
      <c r="K52" s="348"/>
      <c r="L52" s="347" t="str">
        <f>VLOOKUP(L51,Schlüssel!$A$5:$K$10,2)</f>
        <v>Kings Club Bayreuth Land 3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Schlüssel!DI$1</f>
        <v>27.04.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Schlüssel!$CY$2</f>
        <v>Regensburg Super Bowl</v>
      </c>
      <c r="F60" s="77"/>
      <c r="G60" s="77"/>
      <c r="H60" s="77"/>
      <c r="I60" s="77"/>
      <c r="K60" s="77"/>
      <c r="L60" s="29" t="s">
        <v>1784</v>
      </c>
      <c r="M60" s="34">
        <v>6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VLOOKUP(B60,Schlüssel!$A$5:$DZ$10,113)</f>
        <v>11</v>
      </c>
      <c r="F62" s="47" t="s">
        <v>10</v>
      </c>
      <c r="G62" s="7">
        <f>VLOOKUP(B60,Schlüssel!$A$5:$DZ$10,114)</f>
        <v>14</v>
      </c>
      <c r="H62" s="47" t="s">
        <v>10</v>
      </c>
      <c r="I62" s="7">
        <f>VLOOKUP(B60,Schlüssel!$A$5:$DZ$10,115)</f>
        <v>15</v>
      </c>
      <c r="J62" s="47" t="s">
        <v>10</v>
      </c>
      <c r="K62" s="7">
        <f>VLOOKUP(B60,Schlüssel!$A$5:$DZ$10,116)</f>
        <v>13</v>
      </c>
      <c r="L62" s="47" t="s">
        <v>10</v>
      </c>
      <c r="M62" s="67">
        <f>VLOOKUP(B60,Schlüssel!$A$5:$DZ$10,117)</f>
        <v>12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VLOOKUP(B60,Schlüssel!$A$5:$DZ$10,103)</f>
        <v>4</v>
      </c>
      <c r="E80" s="350"/>
      <c r="F80" s="350">
        <f>VLOOKUP(B60,Schlüssel!$A$5:$DZ$10,104)</f>
        <v>2</v>
      </c>
      <c r="G80" s="350"/>
      <c r="H80" s="350">
        <f>VLOOKUP(B60,Schlüssel!$A$5:$DZ$10,105)</f>
        <v>1</v>
      </c>
      <c r="I80" s="350"/>
      <c r="J80" s="350">
        <f>VLOOKUP(B60,Schlüssel!$A$5:$DZ$10,106)</f>
        <v>5</v>
      </c>
      <c r="K80" s="350"/>
      <c r="L80" s="350">
        <f>VLOOKUP(B60,Schlüssel!$A$5:$DZ$10,107)</f>
        <v>6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Kings Club Bayreuth Land 3</v>
      </c>
      <c r="E81" s="348"/>
      <c r="F81" s="347" t="str">
        <f>VLOOKUP(F80,Schlüssel!$A$5:$K$10,2)</f>
        <v>Herzogenaurach 1</v>
      </c>
      <c r="G81" s="348"/>
      <c r="H81" s="347" t="str">
        <f>VLOOKUP(H80,Schlüssel!$A$5:$K$10,2)</f>
        <v>Castra Regina Regensburg 3</v>
      </c>
      <c r="I81" s="348"/>
      <c r="J81" s="347" t="str">
        <f>VLOOKUP(J80,Schlüssel!$A$5:$K$10,2)</f>
        <v>Castra Regina Regensburg 2</v>
      </c>
      <c r="K81" s="348"/>
      <c r="L81" s="347" t="str">
        <f>VLOOKUP(L80,Schlüssel!$A$5:$K$10,2)</f>
        <v>Adler Nürnberg 1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Schlüssel!DI$1</f>
        <v>27.04.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Schlüssel!$CY$2</f>
        <v>Regensburg Super Bowl</v>
      </c>
      <c r="F89" s="77"/>
      <c r="G89" s="77"/>
      <c r="H89" s="77"/>
      <c r="I89" s="77"/>
      <c r="K89" s="77"/>
      <c r="L89" s="29" t="s">
        <v>1784</v>
      </c>
      <c r="M89" s="34">
        <v>6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VLOOKUP(B89,Schlüssel!$A$5:$DZ$10,113)</f>
        <v>12</v>
      </c>
      <c r="F91" s="47" t="s">
        <v>10</v>
      </c>
      <c r="G91" s="7">
        <f>VLOOKUP(B89,Schlüssel!$A$5:$DZ$10,114)</f>
        <v>16</v>
      </c>
      <c r="H91" s="47" t="s">
        <v>10</v>
      </c>
      <c r="I91" s="7">
        <f>VLOOKUP(B89,Schlüssel!$A$5:$DZ$10,115)</f>
        <v>14</v>
      </c>
      <c r="J91" s="47" t="s">
        <v>10</v>
      </c>
      <c r="K91" s="7">
        <f>VLOOKUP(B89,Schlüssel!$A$5:$DZ$10,116)</f>
        <v>11</v>
      </c>
      <c r="L91" s="47" t="s">
        <v>10</v>
      </c>
      <c r="M91" s="67">
        <f>VLOOKUP(B89,Schlüssel!$A$5:$DZ$10,117)</f>
        <v>13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VLOOKUP(B89,Schlüssel!$A$5:$DZ$10,103)</f>
        <v>3</v>
      </c>
      <c r="E109" s="350"/>
      <c r="F109" s="350">
        <f>VLOOKUP(B89,Schlüssel!$A$5:$DZ$10,104)</f>
        <v>5</v>
      </c>
      <c r="G109" s="350"/>
      <c r="H109" s="350">
        <f>VLOOKUP(B89,Schlüssel!$A$5:$DZ$10,105)</f>
        <v>6</v>
      </c>
      <c r="I109" s="350"/>
      <c r="J109" s="350">
        <f>VLOOKUP(B89,Schlüssel!$A$5:$DZ$10,106)</f>
        <v>1</v>
      </c>
      <c r="K109" s="350"/>
      <c r="L109" s="350">
        <f>VLOOKUP(B89,Schlüssel!$A$5:$DZ$10,107)</f>
        <v>2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Kings Club Bayreuth Land 2</v>
      </c>
      <c r="E110" s="348"/>
      <c r="F110" s="347" t="str">
        <f>VLOOKUP(F109,Schlüssel!$A$5:$K$10,2)</f>
        <v>Castra Regina Regensburg 2</v>
      </c>
      <c r="G110" s="348"/>
      <c r="H110" s="347" t="str">
        <f>VLOOKUP(H109,Schlüssel!$A$5:$K$10,2)</f>
        <v>Adler Nürnberg 1</v>
      </c>
      <c r="I110" s="348"/>
      <c r="J110" s="347" t="str">
        <f>VLOOKUP(J109,Schlüssel!$A$5:$K$10,2)</f>
        <v>Castra Regina Regensburg 3</v>
      </c>
      <c r="K110" s="348"/>
      <c r="L110" s="347" t="str">
        <f>VLOOKUP(L109,Schlüssel!$A$5:$K$10,2)</f>
        <v>Herzogenaurach 1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Schlüssel!DI$1</f>
        <v>27.04.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Schlüssel!$CY$2</f>
        <v>Regensburg Super Bowl</v>
      </c>
      <c r="F118" s="77"/>
      <c r="G118" s="77"/>
      <c r="H118" s="77"/>
      <c r="I118" s="77"/>
      <c r="K118" s="77"/>
      <c r="L118" s="29" t="s">
        <v>1784</v>
      </c>
      <c r="M118" s="34">
        <v>6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VLOOKUP(B118,Schlüssel!$A$5:$DZ$10,113)</f>
        <v>13</v>
      </c>
      <c r="F120" s="47" t="s">
        <v>10</v>
      </c>
      <c r="G120" s="7">
        <f>VLOOKUP(B118,Schlüssel!$A$5:$DZ$10,114)</f>
        <v>15</v>
      </c>
      <c r="H120" s="47" t="s">
        <v>10</v>
      </c>
      <c r="I120" s="7">
        <f>VLOOKUP(B118,Schlüssel!$A$5:$DZ$10,115)</f>
        <v>12</v>
      </c>
      <c r="J120" s="47" t="s">
        <v>10</v>
      </c>
      <c r="K120" s="7">
        <f>VLOOKUP(B118,Schlüssel!$A$5:$DZ$10,116)</f>
        <v>14</v>
      </c>
      <c r="L120" s="47" t="s">
        <v>10</v>
      </c>
      <c r="M120" s="67">
        <f>VLOOKUP(B118,Schlüssel!$A$5:$DZ$10,117)</f>
        <v>16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VLOOKUP(B118,Schlüssel!$A$5:$DZ$10,103)</f>
        <v>6</v>
      </c>
      <c r="E138" s="350"/>
      <c r="F138" s="350">
        <f>VLOOKUP(B118,Schlüssel!$A$5:$DZ$10,104)</f>
        <v>4</v>
      </c>
      <c r="G138" s="350"/>
      <c r="H138" s="350">
        <f>VLOOKUP(B118,Schlüssel!$A$5:$DZ$10,105)</f>
        <v>2</v>
      </c>
      <c r="I138" s="350"/>
      <c r="J138" s="350">
        <f>VLOOKUP(B118,Schlüssel!$A$5:$DZ$10,106)</f>
        <v>3</v>
      </c>
      <c r="K138" s="350"/>
      <c r="L138" s="350">
        <f>VLOOKUP(B118,Schlüssel!$A$5:$DZ$10,107)</f>
        <v>1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Adler Nürnberg 1</v>
      </c>
      <c r="E139" s="348"/>
      <c r="F139" s="347" t="str">
        <f>VLOOKUP(F138,Schlüssel!$A$5:$K$10,2)</f>
        <v>Kings Club Bayreuth Land 3</v>
      </c>
      <c r="G139" s="348"/>
      <c r="H139" s="347" t="str">
        <f>VLOOKUP(H138,Schlüssel!$A$5:$K$10,2)</f>
        <v>Herzogenaurach 1</v>
      </c>
      <c r="I139" s="348"/>
      <c r="J139" s="347" t="str">
        <f>VLOOKUP(J138,Schlüssel!$A$5:$K$10,2)</f>
        <v>Kings Club Bayreuth Land 2</v>
      </c>
      <c r="K139" s="348"/>
      <c r="L139" s="347" t="str">
        <f>VLOOKUP(L138,Schlüssel!$A$5:$K$10,2)</f>
        <v>Castra Regina Regensburg 3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Schlüssel!DI$1</f>
        <v>27.04.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Schlüssel!$CY$2</f>
        <v>Regensburg Super Bowl</v>
      </c>
      <c r="F147" s="77"/>
      <c r="G147" s="77"/>
      <c r="H147" s="77"/>
      <c r="I147" s="77"/>
      <c r="K147" s="77"/>
      <c r="L147" s="29" t="s">
        <v>1784</v>
      </c>
      <c r="M147" s="34">
        <v>6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VLOOKUP(B147,Schlüssel!$A$5:$DZ$10,113)</f>
        <v>14</v>
      </c>
      <c r="F149" s="47" t="s">
        <v>10</v>
      </c>
      <c r="G149" s="7">
        <f>VLOOKUP(B147,Schlüssel!$A$5:$DZ$10,114)</f>
        <v>12</v>
      </c>
      <c r="H149" s="47" t="s">
        <v>10</v>
      </c>
      <c r="I149" s="7">
        <f>VLOOKUP(B147,Schlüssel!$A$5:$DZ$10,115)</f>
        <v>13</v>
      </c>
      <c r="J149" s="47" t="s">
        <v>10</v>
      </c>
      <c r="K149" s="7">
        <f>VLOOKUP(B147,Schlüssel!$A$5:$DZ$10,116)</f>
        <v>16</v>
      </c>
      <c r="L149" s="47" t="s">
        <v>10</v>
      </c>
      <c r="M149" s="67">
        <f>VLOOKUP(B147,Schlüssel!$A$5:$DZ$10,117)</f>
        <v>11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VLOOKUP(B147,Schlüssel!$A$5:$DZ$10,103)</f>
        <v>5</v>
      </c>
      <c r="E167" s="350"/>
      <c r="F167" s="350">
        <f>VLOOKUP(B147,Schlüssel!$A$5:$DZ$10,104)</f>
        <v>1</v>
      </c>
      <c r="G167" s="350"/>
      <c r="H167" s="350">
        <f>VLOOKUP(B147,Schlüssel!$A$5:$DZ$10,105)</f>
        <v>4</v>
      </c>
      <c r="I167" s="350"/>
      <c r="J167" s="350">
        <f>VLOOKUP(B147,Schlüssel!$A$5:$DZ$10,106)</f>
        <v>2</v>
      </c>
      <c r="K167" s="350"/>
      <c r="L167" s="350">
        <f>VLOOKUP(B147,Schlüssel!$A$5:$DZ$10,107)</f>
        <v>3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Castra Regina Regensburg 2</v>
      </c>
      <c r="E168" s="348"/>
      <c r="F168" s="347" t="str">
        <f>VLOOKUP(F167,Schlüssel!$A$5:$K$10,2)</f>
        <v>Castra Regina Regensburg 3</v>
      </c>
      <c r="G168" s="348"/>
      <c r="H168" s="347" t="str">
        <f>VLOOKUP(H167,Schlüssel!$A$5:$K$10,2)</f>
        <v>Kings Club Bayreuth Land 3</v>
      </c>
      <c r="I168" s="348"/>
      <c r="J168" s="347" t="str">
        <f>VLOOKUP(J167,Schlüssel!$A$5:$K$10,2)</f>
        <v>Herzogenaurach 1</v>
      </c>
      <c r="K168" s="348"/>
      <c r="L168" s="347" t="str">
        <f>VLOOKUP(L167,Schlüssel!$A$5:$K$10,2)</f>
        <v>Kings Club Bayreuth Land 2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D19C" sheet="1"/>
  <mergeCells count="498">
    <mergeCell ref="L1:N1"/>
    <mergeCell ref="D5:E5"/>
    <mergeCell ref="F5:G5"/>
    <mergeCell ref="H5:I5"/>
    <mergeCell ref="J5:K5"/>
    <mergeCell ref="L5:M5"/>
    <mergeCell ref="N5:O5"/>
    <mergeCell ref="O7:O9"/>
    <mergeCell ref="A10:A12"/>
    <mergeCell ref="E10:E12"/>
    <mergeCell ref="G10:G12"/>
    <mergeCell ref="I10:I12"/>
    <mergeCell ref="K10:K12"/>
    <mergeCell ref="M10:M12"/>
    <mergeCell ref="O10:O12"/>
    <mergeCell ref="A7:A9"/>
    <mergeCell ref="E7:E9"/>
    <mergeCell ref="G7:G9"/>
    <mergeCell ref="I7:I9"/>
    <mergeCell ref="K7:K9"/>
    <mergeCell ref="M7:M9"/>
    <mergeCell ref="D22:E22"/>
    <mergeCell ref="F22:G22"/>
    <mergeCell ref="H22:I22"/>
    <mergeCell ref="J22:K22"/>
    <mergeCell ref="L22:M22"/>
    <mergeCell ref="N22:O22"/>
    <mergeCell ref="O13:O15"/>
    <mergeCell ref="A16:A18"/>
    <mergeCell ref="E16:E18"/>
    <mergeCell ref="G16:G18"/>
    <mergeCell ref="I16:I18"/>
    <mergeCell ref="K16:K18"/>
    <mergeCell ref="M16:M18"/>
    <mergeCell ref="O16:O18"/>
    <mergeCell ref="A13:A15"/>
    <mergeCell ref="E13:E15"/>
    <mergeCell ref="G13:G15"/>
    <mergeCell ref="I13:I15"/>
    <mergeCell ref="K13:K15"/>
    <mergeCell ref="M13:M15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D26:E26"/>
    <mergeCell ref="F26:G26"/>
    <mergeCell ref="H26:I26"/>
    <mergeCell ref="J26:K26"/>
    <mergeCell ref="L26:M26"/>
    <mergeCell ref="N26:O26"/>
    <mergeCell ref="D25:E25"/>
    <mergeCell ref="F25:G25"/>
    <mergeCell ref="H25:I25"/>
    <mergeCell ref="J25:K25"/>
    <mergeCell ref="L25:M25"/>
    <mergeCell ref="N25:O25"/>
    <mergeCell ref="D28:E28"/>
    <mergeCell ref="F28:G28"/>
    <mergeCell ref="H28:I28"/>
    <mergeCell ref="J28:K28"/>
    <mergeCell ref="L28:M28"/>
    <mergeCell ref="N28:O28"/>
    <mergeCell ref="D27:E27"/>
    <mergeCell ref="F27:G27"/>
    <mergeCell ref="H27:I27"/>
    <mergeCell ref="J27:K27"/>
    <mergeCell ref="L27:M27"/>
    <mergeCell ref="N27:O27"/>
    <mergeCell ref="L30:N30"/>
    <mergeCell ref="D34:E34"/>
    <mergeCell ref="F34:G34"/>
    <mergeCell ref="H34:I34"/>
    <mergeCell ref="J34:K34"/>
    <mergeCell ref="L34:M34"/>
    <mergeCell ref="N34:O34"/>
    <mergeCell ref="D29:E29"/>
    <mergeCell ref="F29:G29"/>
    <mergeCell ref="H29:I29"/>
    <mergeCell ref="J29:K29"/>
    <mergeCell ref="L29:M29"/>
    <mergeCell ref="N29:O29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ageMargins left="0.70866141732283472" right="0.70866141732283472" top="0.39370078740157483" bottom="0.39370078740157483" header="0.31496062992125984" footer="0.31496062992125984"/>
  <pageSetup paperSize="9" orientation="landscape" r:id="rId1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EACA-F3F5-40C8-95AB-FDFF737F2071}">
  <sheetPr>
    <tabColor theme="1"/>
    <pageSetUpPr fitToPage="1"/>
  </sheetPr>
  <dimension ref="A1:L111"/>
  <sheetViews>
    <sheetView zoomScale="155" workbookViewId="0">
      <selection activeCell="C3" sqref="C3:J3"/>
    </sheetView>
  </sheetViews>
  <sheetFormatPr baseColWidth="10" defaultRowHeight="12.75" x14ac:dyDescent="0.2"/>
  <cols>
    <col min="1" max="1" width="6.5703125" style="6" customWidth="1"/>
    <col min="2" max="2" width="27.5703125" customWidth="1"/>
    <col min="3" max="3" width="28.5703125" customWidth="1"/>
    <col min="4" max="9" width="6.7109375" style="6" customWidth="1"/>
    <col min="10" max="10" width="26.7109375" customWidth="1"/>
    <col min="11" max="11" width="2.5703125" bestFit="1" customWidth="1"/>
    <col min="12" max="12" width="33.42578125" style="104" bestFit="1" customWidth="1"/>
  </cols>
  <sheetData>
    <row r="1" spans="1:12" s="134" customFormat="1" ht="15" x14ac:dyDescent="0.25">
      <c r="A1" s="318" t="str">
        <f>Schlüssel!C1&amp;"     -     Saison "&amp;Spielorte!C18</f>
        <v>Bezirksliga N1 Männer     -     Saison 2024/2025</v>
      </c>
      <c r="B1" s="318"/>
      <c r="C1" s="318"/>
      <c r="D1" s="318"/>
      <c r="E1" s="318"/>
      <c r="F1" s="318"/>
      <c r="G1" s="318"/>
      <c r="H1" s="318"/>
      <c r="I1" s="318"/>
      <c r="J1" s="318"/>
      <c r="L1" s="226"/>
    </row>
    <row r="2" spans="1:12" s="51" customFormat="1" x14ac:dyDescent="0.2">
      <c r="A2" s="33"/>
      <c r="D2" s="33"/>
      <c r="E2" s="33"/>
      <c r="F2" s="33"/>
      <c r="G2" s="33"/>
      <c r="H2" s="33"/>
      <c r="I2" s="33"/>
      <c r="L2" s="227"/>
    </row>
    <row r="3" spans="1:12" s="148" customFormat="1" ht="14.25" x14ac:dyDescent="0.2">
      <c r="A3" s="317" t="s">
        <v>1859</v>
      </c>
      <c r="B3" s="317"/>
      <c r="C3" s="319" t="s">
        <v>2534</v>
      </c>
      <c r="D3" s="319"/>
      <c r="E3" s="319"/>
      <c r="F3" s="319"/>
      <c r="G3" s="319"/>
      <c r="H3" s="319"/>
      <c r="I3" s="319"/>
      <c r="J3" s="319"/>
      <c r="L3" s="228"/>
    </row>
    <row r="4" spans="1:12" s="148" customFormat="1" ht="14.25" x14ac:dyDescent="0.2">
      <c r="A4" s="317" t="s">
        <v>2070</v>
      </c>
      <c r="B4" s="317"/>
      <c r="C4" s="319" t="s">
        <v>2535</v>
      </c>
      <c r="D4" s="319"/>
      <c r="E4" s="319"/>
      <c r="F4" s="319"/>
      <c r="G4" s="319"/>
      <c r="H4" s="319"/>
      <c r="I4" s="319"/>
      <c r="J4" s="319"/>
      <c r="L4" s="228"/>
    </row>
    <row r="5" spans="1:12" s="51" customFormat="1" x14ac:dyDescent="0.2">
      <c r="A5" s="33"/>
      <c r="D5" s="33"/>
      <c r="E5" s="33"/>
      <c r="F5" s="33"/>
      <c r="G5" s="33"/>
      <c r="H5" s="33"/>
      <c r="I5" s="33"/>
      <c r="L5" s="227"/>
    </row>
    <row r="6" spans="1:12" s="231" customFormat="1" ht="15" x14ac:dyDescent="0.25">
      <c r="A6" s="316" t="s">
        <v>2069</v>
      </c>
      <c r="B6" s="316"/>
      <c r="C6" s="229">
        <v>1</v>
      </c>
      <c r="D6" s="230"/>
      <c r="E6" s="230"/>
      <c r="F6" s="230"/>
      <c r="G6" s="230"/>
      <c r="H6" s="230"/>
      <c r="I6" s="230"/>
      <c r="K6" s="315" t="s">
        <v>2059</v>
      </c>
      <c r="L6" s="315"/>
    </row>
    <row r="7" spans="1:12" ht="15" x14ac:dyDescent="0.25">
      <c r="A7" s="232" t="s">
        <v>1814</v>
      </c>
      <c r="B7" s="233" t="s">
        <v>1797</v>
      </c>
      <c r="C7" s="233" t="s">
        <v>1823</v>
      </c>
      <c r="D7" s="232" t="s">
        <v>2071</v>
      </c>
      <c r="E7" s="232" t="s">
        <v>2072</v>
      </c>
      <c r="F7" s="232" t="s">
        <v>2073</v>
      </c>
      <c r="G7" s="232" t="s">
        <v>2074</v>
      </c>
      <c r="H7" s="232" t="s">
        <v>2075</v>
      </c>
      <c r="I7" s="232" t="s">
        <v>2076</v>
      </c>
      <c r="J7" s="234" t="s">
        <v>2077</v>
      </c>
      <c r="K7" s="33" t="s">
        <v>2060</v>
      </c>
      <c r="L7" s="104" t="s">
        <v>2061</v>
      </c>
    </row>
    <row r="8" spans="1:12" x14ac:dyDescent="0.2">
      <c r="B8" t="str">
        <f>IFERROR(INDEX(Starter!B:B,MATCH(A8,Starter!A:A,0)),"")</f>
        <v/>
      </c>
      <c r="C8" t="str">
        <f>IFERROR(INDEX(Starter!C:C,MATCH(A8,Starter!A:A,0)),"")</f>
        <v/>
      </c>
      <c r="D8" s="33"/>
      <c r="E8" s="33"/>
      <c r="F8" s="33"/>
      <c r="G8" s="33"/>
      <c r="H8" s="33"/>
      <c r="K8" s="33" t="s">
        <v>2062</v>
      </c>
      <c r="L8" s="104" t="s">
        <v>2063</v>
      </c>
    </row>
    <row r="9" spans="1:12" x14ac:dyDescent="0.2">
      <c r="G9" s="33"/>
      <c r="K9" s="33" t="s">
        <v>2064</v>
      </c>
      <c r="L9" s="104" t="s">
        <v>2065</v>
      </c>
    </row>
    <row r="10" spans="1:12" x14ac:dyDescent="0.2">
      <c r="G10" s="33"/>
      <c r="K10" s="33" t="s">
        <v>45</v>
      </c>
      <c r="L10" s="104" t="s">
        <v>2066</v>
      </c>
    </row>
    <row r="11" spans="1:12" x14ac:dyDescent="0.2">
      <c r="B11" t="str">
        <f>IFERROR(INDEX(Starter!B:B,MATCH(A11,Starter!A:A,0)),"")</f>
        <v/>
      </c>
      <c r="C11" t="str">
        <f>IFERROR(INDEX(Starter!C:C,MATCH(A11,Starter!A:A,0)),"")</f>
        <v/>
      </c>
      <c r="K11" s="33" t="s">
        <v>2067</v>
      </c>
      <c r="L11" s="104" t="s">
        <v>2068</v>
      </c>
    </row>
    <row r="12" spans="1:12" x14ac:dyDescent="0.2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 x14ac:dyDescent="0.2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 x14ac:dyDescent="0.2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 x14ac:dyDescent="0.2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 x14ac:dyDescent="0.2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 x14ac:dyDescent="0.2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 x14ac:dyDescent="0.2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 x14ac:dyDescent="0.2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 x14ac:dyDescent="0.2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 x14ac:dyDescent="0.2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 x14ac:dyDescent="0.2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 x14ac:dyDescent="0.2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 x14ac:dyDescent="0.2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 x14ac:dyDescent="0.2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 x14ac:dyDescent="0.2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 x14ac:dyDescent="0.2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 x14ac:dyDescent="0.2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 x14ac:dyDescent="0.2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 x14ac:dyDescent="0.2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 x14ac:dyDescent="0.2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 x14ac:dyDescent="0.2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6457F-811C-4088-9776-745C545A2867}">
  <sheetPr>
    <tabColor rgb="FF92D050"/>
  </sheetPr>
  <dimension ref="A1:CE180"/>
  <sheetViews>
    <sheetView view="pageBreakPreview" topLeftCell="R145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 t="str">
        <f>AD1</f>
        <v>27.04.</v>
      </c>
      <c r="N1" s="376"/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Schlüssel!$DI$1</f>
        <v>27.04.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Regensburg Super Bowl</v>
      </c>
      <c r="F2" s="77"/>
      <c r="G2" s="77"/>
      <c r="H2" s="77"/>
      <c r="I2" s="77"/>
      <c r="J2" s="77"/>
      <c r="K2" s="77"/>
      <c r="L2" s="29" t="str">
        <f>AC2</f>
        <v>Spieltag:</v>
      </c>
      <c r="M2" s="86">
        <f>AD2</f>
        <v>6</v>
      </c>
      <c r="N2" s="28"/>
      <c r="R2" s="49"/>
      <c r="S2" s="50">
        <v>1</v>
      </c>
      <c r="U2" s="30" t="s">
        <v>1786</v>
      </c>
      <c r="V2" s="84" t="str">
        <f>Schlüssel!$CY$2</f>
        <v>Regensburg Super Bowl</v>
      </c>
      <c r="X2" s="77"/>
      <c r="Y2" s="77"/>
      <c r="Z2" s="77"/>
      <c r="AA2" s="77"/>
      <c r="AB2" s="77"/>
      <c r="AC2" s="29" t="s">
        <v>1784</v>
      </c>
      <c r="AD2" s="34">
        <v>6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VLOOKUP(S2,Schlüssel!$A$5:$DZ$10,113)</f>
        <v>15</v>
      </c>
      <c r="W4" s="193" t="s">
        <v>10</v>
      </c>
      <c r="X4" s="191">
        <f>VLOOKUP(S2,Schlüssel!$A$5:$DZ$10,114)</f>
        <v>11</v>
      </c>
      <c r="Y4" s="193" t="s">
        <v>10</v>
      </c>
      <c r="Z4" s="191">
        <f>VLOOKUP(S2,Schlüssel!$A$5:$DZ$10,115)</f>
        <v>16</v>
      </c>
      <c r="AA4" s="193" t="s">
        <v>10</v>
      </c>
      <c r="AB4" s="191">
        <f>VLOOKUP(S2,Schlüssel!$A$5:$DZ$10,116)</f>
        <v>12</v>
      </c>
      <c r="AC4" s="193" t="s">
        <v>10</v>
      </c>
      <c r="AD4" s="192">
        <f>VLOOKUP(S2,Schlüssel!$A$5:$DZ$10,117)</f>
        <v>15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/>
      </c>
      <c r="C7" s="18" t="str">
        <f>IF(T7=0,"",T7)</f>
        <v/>
      </c>
      <c r="D7" s="14" t="str">
        <f>IF(U7=0,"",U7)</f>
        <v/>
      </c>
      <c r="E7" s="352">
        <f>IF(V7="","",V7)</f>
        <v>0</v>
      </c>
      <c r="F7" s="14" t="str">
        <f t="shared" ref="F7:F20" si="0">IF(W7=0,"",W7)</f>
        <v/>
      </c>
      <c r="G7" s="352">
        <f>IF(X7="","",X7)</f>
        <v>0</v>
      </c>
      <c r="H7" s="14" t="str">
        <f t="shared" ref="H7:H20" si="1">IF(Y7=0,"",Y7)</f>
        <v/>
      </c>
      <c r="I7" s="352">
        <f>IF(Z7="","",Z7)</f>
        <v>0</v>
      </c>
      <c r="J7" s="14" t="str">
        <f t="shared" ref="J7:J20" si="2">IF(AA7=0,"",AA7)</f>
        <v/>
      </c>
      <c r="K7" s="352">
        <f>IF(AB7="","",AB7)</f>
        <v>0</v>
      </c>
      <c r="L7" s="14" t="str">
        <f t="shared" ref="L7:L20" si="3">IF(AC7=0,"",AC7)</f>
        <v/>
      </c>
      <c r="M7" s="352">
        <f>IF(AD7="","",AD7)</f>
        <v>0</v>
      </c>
      <c r="N7" s="14" t="str">
        <f t="shared" ref="N7:N20" si="4">IF(AE7=0,"",AE7)</f>
        <v/>
      </c>
      <c r="O7" s="352">
        <f>IF(AF7="","",AF7)</f>
        <v>0</v>
      </c>
      <c r="R7" s="355" t="s">
        <v>0</v>
      </c>
      <c r="S7" s="68" t="str">
        <f>IF(T7=0,"",VLOOKUP(T7,Starter!$A$1:$D$196,2,FALSE))</f>
        <v/>
      </c>
      <c r="T7" s="175"/>
      <c r="U7" s="183"/>
      <c r="V7" s="95">
        <f>IF(SUM(U7:U9)+U25=0,0,IF(ABS(SUM(U7:U9))=U25,0.5,IF(ABS(SUM(U7:U9))&gt;U25,1,0)))</f>
        <v>0</v>
      </c>
      <c r="W7" s="183"/>
      <c r="X7" s="95">
        <f>IF(SUM(W7:W9)+W25=0,0,IF(ABS(SUM(W7:W9))=W25,0.5,IF(ABS(SUM(W7:W9))&gt;W25,1,0)))</f>
        <v>0</v>
      </c>
      <c r="Y7" s="183"/>
      <c r="Z7" s="95">
        <f>IF(SUM(Y7:Y9)+Y25=0,0,IF(ABS(SUM(Y7:Y9))=Y25,0.5,IF(ABS(SUM(Y7:Y9))&gt;Y25,1,0)))</f>
        <v>0</v>
      </c>
      <c r="AA7" s="189"/>
      <c r="AB7" s="95">
        <f>IF(SUM(AA7:AA9)+AA25=0,0,IF(ABS(SUM(AA7:AA9))=AA25,0.5,IF(ABS(SUM(AA7:AA9))&gt;AA25,1,0)))</f>
        <v>0</v>
      </c>
      <c r="AC7" s="183"/>
      <c r="AD7" s="95">
        <f>IF(SUM(AC7:AC9)+AC25=0,0,IF(ABS(SUM(AC7:AC9))=AC25,0.5,IF(ABS(SUM(AC7:AC9))&gt;AC25,1,0)))</f>
        <v>0</v>
      </c>
      <c r="AE7" s="195">
        <f t="shared" ref="AE7:AE18" si="5">ABS(SUM(U7:U7))+ABS(SUM(W7:W7))+ABS(SUM(Y7:Y7))+ABS(SUM(AA7:AA7))+ABS(SUM(AC7:AC7))</f>
        <v>0</v>
      </c>
      <c r="AF7" s="180">
        <f>SUM(V7+X7+Z7+AB7+AD7)</f>
        <v>0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 t="shared" ref="BD7:BD18" si="6">T7</f>
        <v>0</v>
      </c>
      <c r="BE7" s="213">
        <f t="shared" ref="BE7:BE18" si="7">AE7</f>
        <v>0</v>
      </c>
      <c r="BF7" s="215">
        <f t="shared" ref="BF7:BF18" si="8">COUNT(BH7:BL7)</f>
        <v>0</v>
      </c>
      <c r="BG7" s="215">
        <f t="shared" ref="BG7:BG18" si="9">COUNTIF(BH7:BL7,"&gt;0")</f>
        <v>0</v>
      </c>
      <c r="BH7" s="215" t="str">
        <f t="shared" ref="BH7:BH18" si="10">IF(U7=0,"",U7)</f>
        <v/>
      </c>
      <c r="BI7" s="215" t="str">
        <f t="shared" ref="BI7:BI18" si="11">IF(W7=0,"",W7)</f>
        <v/>
      </c>
      <c r="BJ7" s="215" t="str">
        <f t="shared" ref="BJ7:BJ18" si="12">IF(Y7=0,"",Y7)</f>
        <v/>
      </c>
      <c r="BK7" s="215" t="str">
        <f t="shared" ref="BK7:BK18" si="13">IF(AA7=0,"",AA7)</f>
        <v/>
      </c>
      <c r="BL7" s="215" t="str">
        <f t="shared" ref="BL7:BL18" si="14">IF(AC7=0,"",AC7)</f>
        <v/>
      </c>
      <c r="BM7" s="216"/>
      <c r="BN7" s="214"/>
      <c r="BO7" s="215">
        <f t="shared" ref="BO7:BO18" si="15">MAX(BH7:BL7)</f>
        <v>0</v>
      </c>
      <c r="BP7" s="215">
        <f t="shared" ref="BP7:BP18" si="16">IF(BO7&lt;MAX(BO:BO),0,BO7+ROW()/1000000000)</f>
        <v>6.9999999999999998E-9</v>
      </c>
      <c r="BQ7" s="215" t="str">
        <f>+S3</f>
        <v>Castra Regina Regensburg 3</v>
      </c>
      <c r="BR7" s="214">
        <f t="shared" ref="BR7:BR18" si="17">RANK(BP7,BP:BP)</f>
        <v>72</v>
      </c>
      <c r="BS7" s="215">
        <f t="shared" ref="BS7:BS18" si="18">SUMIF(BH7:BL7,"&gt;0")</f>
        <v>0</v>
      </c>
      <c r="BT7" s="215">
        <f>IF(COUNTIF(BH7:BL7,"&gt;0")&lt;Spielorte!$A$23,0,BE7/Spielorte!$A$23)</f>
        <v>0</v>
      </c>
      <c r="BU7" s="215">
        <f t="shared" ref="BU7:BU18" si="19">IF(BT7&lt;MAX(BT:BT),0,BT7+ROW()/1000000000)</f>
        <v>6.9999999999999998E-9</v>
      </c>
      <c r="BV7" s="214">
        <f t="shared" ref="BV7:BV18" si="20">IF(BU7=0,0,RANK(BU7,BU:BU))</f>
        <v>72</v>
      </c>
    </row>
    <row r="8" spans="1:74" ht="17.100000000000001" customHeight="1" x14ac:dyDescent="0.2">
      <c r="A8" s="374"/>
      <c r="B8" s="19" t="str">
        <f t="shared" ref="B8:D20" si="21">IF(S8=0,"",S8)</f>
        <v/>
      </c>
      <c r="C8" s="20" t="str">
        <f t="shared" si="21"/>
        <v/>
      </c>
      <c r="D8" s="15" t="str">
        <f t="shared" si="21"/>
        <v/>
      </c>
      <c r="E8" s="353"/>
      <c r="F8" s="15" t="str">
        <f t="shared" si="0"/>
        <v/>
      </c>
      <c r="G8" s="353"/>
      <c r="H8" s="15" t="str">
        <f t="shared" si="1"/>
        <v/>
      </c>
      <c r="I8" s="353"/>
      <c r="J8" s="15" t="str">
        <f t="shared" si="2"/>
        <v/>
      </c>
      <c r="K8" s="353"/>
      <c r="L8" s="15" t="str">
        <f t="shared" si="3"/>
        <v/>
      </c>
      <c r="M8" s="353"/>
      <c r="N8" s="15" t="str">
        <f t="shared" si="4"/>
        <v/>
      </c>
      <c r="O8" s="353"/>
      <c r="R8" s="356"/>
      <c r="S8" s="68" t="str">
        <f>IF(T8=0,"",VLOOKUP(T8,Starter!$A$1:$D$196,2,FALSE))</f>
        <v/>
      </c>
      <c r="T8" s="176"/>
      <c r="U8" s="184"/>
      <c r="V8" s="96"/>
      <c r="W8" s="184"/>
      <c r="X8" s="96"/>
      <c r="Y8" s="184"/>
      <c r="Z8" s="96"/>
      <c r="AA8" s="184"/>
      <c r="AB8" s="96"/>
      <c r="AC8" s="184"/>
      <c r="AD8" s="96"/>
      <c r="AE8" s="196">
        <f t="shared" si="5"/>
        <v>0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si="6"/>
        <v>0</v>
      </c>
      <c r="BE8" s="213">
        <f t="shared" si="7"/>
        <v>0</v>
      </c>
      <c r="BF8" s="215">
        <f t="shared" si="8"/>
        <v>0</v>
      </c>
      <c r="BG8" s="215">
        <f t="shared" si="9"/>
        <v>0</v>
      </c>
      <c r="BH8" s="215" t="str">
        <f t="shared" si="10"/>
        <v/>
      </c>
      <c r="BI8" s="215" t="str">
        <f t="shared" si="11"/>
        <v/>
      </c>
      <c r="BJ8" s="215" t="str">
        <f t="shared" si="12"/>
        <v/>
      </c>
      <c r="BK8" s="215" t="str">
        <f t="shared" si="13"/>
        <v/>
      </c>
      <c r="BL8" s="215" t="str">
        <f t="shared" si="14"/>
        <v/>
      </c>
      <c r="BM8" s="216"/>
      <c r="BN8" s="214"/>
      <c r="BO8" s="215">
        <f t="shared" si="15"/>
        <v>0</v>
      </c>
      <c r="BP8" s="215">
        <f t="shared" si="16"/>
        <v>8.0000000000000005E-9</v>
      </c>
      <c r="BQ8" s="215" t="str">
        <f t="shared" ref="BQ8:BQ18" si="22">+BQ7</f>
        <v>Castra Regina Regensburg 3</v>
      </c>
      <c r="BR8" s="214">
        <f t="shared" si="17"/>
        <v>71</v>
      </c>
      <c r="BS8" s="215">
        <f t="shared" si="18"/>
        <v>0</v>
      </c>
      <c r="BT8" s="215">
        <f>IF(COUNTIF(BH8:BL8,"&gt;0")&lt;Spielorte!$A$23,0,BE8/Spielorte!$A$23)</f>
        <v>0</v>
      </c>
      <c r="BU8" s="215">
        <f t="shared" si="19"/>
        <v>8.0000000000000005E-9</v>
      </c>
      <c r="BV8" s="214">
        <f t="shared" si="20"/>
        <v>71</v>
      </c>
    </row>
    <row r="9" spans="1:74" ht="17.100000000000001" customHeight="1" thickBot="1" x14ac:dyDescent="0.25">
      <c r="A9" s="375"/>
      <c r="B9" s="21" t="str">
        <f t="shared" si="21"/>
        <v/>
      </c>
      <c r="C9" s="22" t="str">
        <f t="shared" si="21"/>
        <v/>
      </c>
      <c r="D9" s="9" t="str">
        <f t="shared" si="21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6"/>
        <v>0</v>
      </c>
      <c r="BE9" s="213">
        <f t="shared" si="7"/>
        <v>0</v>
      </c>
      <c r="BF9" s="215">
        <f t="shared" si="8"/>
        <v>0</v>
      </c>
      <c r="BG9" s="215">
        <f t="shared" si="9"/>
        <v>0</v>
      </c>
      <c r="BH9" s="215" t="str">
        <f t="shared" si="10"/>
        <v/>
      </c>
      <c r="BI9" s="215" t="str">
        <f t="shared" si="11"/>
        <v/>
      </c>
      <c r="BJ9" s="215" t="str">
        <f t="shared" si="12"/>
        <v/>
      </c>
      <c r="BK9" s="215" t="str">
        <f t="shared" si="13"/>
        <v/>
      </c>
      <c r="BL9" s="215" t="str">
        <f t="shared" si="14"/>
        <v/>
      </c>
      <c r="BM9" s="216"/>
      <c r="BN9" s="214"/>
      <c r="BO9" s="215">
        <f t="shared" si="15"/>
        <v>0</v>
      </c>
      <c r="BP9" s="215">
        <f t="shared" si="16"/>
        <v>8.9999999999999995E-9</v>
      </c>
      <c r="BQ9" s="215" t="str">
        <f t="shared" si="22"/>
        <v>Castra Regina Regensburg 3</v>
      </c>
      <c r="BR9" s="214">
        <f t="shared" si="17"/>
        <v>70</v>
      </c>
      <c r="BS9" s="215">
        <f t="shared" si="18"/>
        <v>0</v>
      </c>
      <c r="BT9" s="215">
        <f>IF(COUNTIF(BH9:BL9,"&gt;0")&lt;Spielorte!$A$23,0,BE9/Spielorte!$A$23)</f>
        <v>0</v>
      </c>
      <c r="BU9" s="215">
        <f t="shared" si="19"/>
        <v>8.9999999999999995E-9</v>
      </c>
      <c r="BV9" s="214">
        <f t="shared" si="20"/>
        <v>70</v>
      </c>
    </row>
    <row r="10" spans="1:74" ht="17.100000000000001" customHeight="1" x14ac:dyDescent="0.2">
      <c r="A10" s="373" t="s">
        <v>2</v>
      </c>
      <c r="B10" s="17" t="str">
        <f t="shared" si="21"/>
        <v/>
      </c>
      <c r="C10" s="18" t="str">
        <f t="shared" si="21"/>
        <v/>
      </c>
      <c r="D10" s="14" t="str">
        <f t="shared" si="21"/>
        <v/>
      </c>
      <c r="E10" s="352">
        <f>IF(V10="","",V10)</f>
        <v>0</v>
      </c>
      <c r="F10" s="14" t="str">
        <f t="shared" si="0"/>
        <v/>
      </c>
      <c r="G10" s="352">
        <f>IF(X10="","",X10)</f>
        <v>0</v>
      </c>
      <c r="H10" s="14" t="str">
        <f t="shared" si="1"/>
        <v/>
      </c>
      <c r="I10" s="352">
        <f>IF(Z10="","",Z10)</f>
        <v>0</v>
      </c>
      <c r="J10" s="14" t="str">
        <f t="shared" si="2"/>
        <v/>
      </c>
      <c r="K10" s="352">
        <f>IF(AB10="","",AB10)</f>
        <v>0</v>
      </c>
      <c r="L10" s="14" t="str">
        <f t="shared" si="3"/>
        <v/>
      </c>
      <c r="M10" s="352">
        <f>IF(AD10="","",AD10)</f>
        <v>0</v>
      </c>
      <c r="N10" s="14" t="str">
        <f t="shared" si="4"/>
        <v/>
      </c>
      <c r="O10" s="352">
        <f>IF(AF10="","",AF10)</f>
        <v>0</v>
      </c>
      <c r="R10" s="355" t="s">
        <v>2</v>
      </c>
      <c r="S10" s="68" t="str">
        <f>IF(T10=0,"",VLOOKUP(T10,Starter!$A$1:$D$196,2,FALSE))</f>
        <v/>
      </c>
      <c r="T10" s="178"/>
      <c r="U10" s="186"/>
      <c r="V10" s="95">
        <f>IF(SUM(U10:U12)+U26=0,0,IF(ABS(SUM(U10:U12))=U26,0.5,IF(ABS(SUM(U10:U12))&gt;U26,1,0)))</f>
        <v>0</v>
      </c>
      <c r="W10" s="186"/>
      <c r="X10" s="95">
        <f>IF(SUM(W10:W12)+W26=0,0,IF(ABS(SUM(W10:W12))=W26,0.5,IF(ABS(SUM(W10:W12))&gt;W26,1,0)))</f>
        <v>0</v>
      </c>
      <c r="Y10" s="186"/>
      <c r="Z10" s="95">
        <f>IF(SUM(Y10:Y12)+Y26=0,0,IF(ABS(SUM(Y10:Y12))=Y26,0.5,IF(ABS(SUM(Y10:Y12))&gt;Y26,1,0)))</f>
        <v>0</v>
      </c>
      <c r="AA10" s="186"/>
      <c r="AB10" s="95">
        <f>IF(SUM(AA10:AA12)+AA26=0,0,IF(ABS(SUM(AA10:AA12))=AA26,0.5,IF(ABS(SUM(AA10:AA12))&gt;AA26,1,0)))</f>
        <v>0</v>
      </c>
      <c r="AC10" s="186"/>
      <c r="AD10" s="95">
        <f>IF(SUM(AC10:AC12)+AC26=0,0,IF(ABS(SUM(AC10:AC12))=AC26,0.5,IF(ABS(SUM(AC10:AC12))&gt;AC26,1,0)))</f>
        <v>0</v>
      </c>
      <c r="AE10" s="195">
        <f t="shared" si="5"/>
        <v>0</v>
      </c>
      <c r="AF10" s="180">
        <f>SUM(V10+X10+Z10+AB10+AD10)</f>
        <v>0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6"/>
        <v>0</v>
      </c>
      <c r="BE10" s="213">
        <f t="shared" si="7"/>
        <v>0</v>
      </c>
      <c r="BF10" s="215">
        <f t="shared" si="8"/>
        <v>0</v>
      </c>
      <c r="BG10" s="215">
        <f t="shared" si="9"/>
        <v>0</v>
      </c>
      <c r="BH10" s="215" t="str">
        <f t="shared" si="10"/>
        <v/>
      </c>
      <c r="BI10" s="215" t="str">
        <f t="shared" si="11"/>
        <v/>
      </c>
      <c r="BJ10" s="215" t="str">
        <f t="shared" si="12"/>
        <v/>
      </c>
      <c r="BK10" s="215" t="str">
        <f t="shared" si="13"/>
        <v/>
      </c>
      <c r="BL10" s="215" t="str">
        <f t="shared" si="14"/>
        <v/>
      </c>
      <c r="BM10" s="216"/>
      <c r="BN10" s="214"/>
      <c r="BO10" s="215">
        <f t="shared" si="15"/>
        <v>0</v>
      </c>
      <c r="BP10" s="215">
        <f t="shared" si="16"/>
        <v>1E-8</v>
      </c>
      <c r="BQ10" s="215" t="str">
        <f t="shared" si="22"/>
        <v>Castra Regina Regensburg 3</v>
      </c>
      <c r="BR10" s="214">
        <f t="shared" si="17"/>
        <v>69</v>
      </c>
      <c r="BS10" s="215">
        <f t="shared" si="18"/>
        <v>0</v>
      </c>
      <c r="BT10" s="215">
        <f>IF(COUNTIF(BH10:BL10,"&gt;0")&lt;Spielorte!$A$23,0,BE10/Spielorte!$A$23)</f>
        <v>0</v>
      </c>
      <c r="BU10" s="215">
        <f t="shared" si="19"/>
        <v>1E-8</v>
      </c>
      <c r="BV10" s="214">
        <f t="shared" si="20"/>
        <v>69</v>
      </c>
    </row>
    <row r="11" spans="1:74" ht="17.100000000000001" customHeight="1" x14ac:dyDescent="0.2">
      <c r="A11" s="374"/>
      <c r="B11" s="19" t="str">
        <f t="shared" si="21"/>
        <v/>
      </c>
      <c r="C11" s="20" t="str">
        <f t="shared" si="21"/>
        <v/>
      </c>
      <c r="D11" s="15" t="str">
        <f t="shared" si="21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 t="str">
        <f t="shared" si="2"/>
        <v/>
      </c>
      <c r="K11" s="353"/>
      <c r="L11" s="15" t="str">
        <f t="shared" si="3"/>
        <v/>
      </c>
      <c r="M11" s="353"/>
      <c r="N11" s="15" t="str">
        <f t="shared" si="4"/>
        <v/>
      </c>
      <c r="O11" s="353"/>
      <c r="R11" s="356"/>
      <c r="S11" s="68" t="str">
        <f>IF(T11=0,"",VLOOKUP(T11,Starter!$A$1:$D$196,2,FALSE))</f>
        <v/>
      </c>
      <c r="T11" s="176"/>
      <c r="U11" s="184"/>
      <c r="V11" s="96"/>
      <c r="W11" s="184"/>
      <c r="X11" s="96"/>
      <c r="Y11" s="184"/>
      <c r="Z11" s="96"/>
      <c r="AA11" s="184"/>
      <c r="AB11" s="96"/>
      <c r="AC11" s="184"/>
      <c r="AD11" s="96"/>
      <c r="AE11" s="196">
        <f t="shared" si="5"/>
        <v>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6"/>
        <v>0</v>
      </c>
      <c r="BE11" s="213">
        <f t="shared" si="7"/>
        <v>0</v>
      </c>
      <c r="BF11" s="215">
        <f t="shared" si="8"/>
        <v>0</v>
      </c>
      <c r="BG11" s="215">
        <f t="shared" si="9"/>
        <v>0</v>
      </c>
      <c r="BH11" s="215" t="str">
        <f t="shared" si="10"/>
        <v/>
      </c>
      <c r="BI11" s="215" t="str">
        <f t="shared" si="11"/>
        <v/>
      </c>
      <c r="BJ11" s="215" t="str">
        <f t="shared" si="12"/>
        <v/>
      </c>
      <c r="BK11" s="215" t="str">
        <f t="shared" si="13"/>
        <v/>
      </c>
      <c r="BL11" s="215" t="str">
        <f t="shared" si="14"/>
        <v/>
      </c>
      <c r="BM11" s="216"/>
      <c r="BN11" s="214"/>
      <c r="BO11" s="215">
        <f t="shared" si="15"/>
        <v>0</v>
      </c>
      <c r="BP11" s="215">
        <f t="shared" si="16"/>
        <v>1.0999999999999999E-8</v>
      </c>
      <c r="BQ11" s="215" t="str">
        <f t="shared" si="22"/>
        <v>Castra Regina Regensburg 3</v>
      </c>
      <c r="BR11" s="214">
        <f t="shared" si="17"/>
        <v>68</v>
      </c>
      <c r="BS11" s="215">
        <f t="shared" si="18"/>
        <v>0</v>
      </c>
      <c r="BT11" s="215">
        <f>IF(COUNTIF(BH11:BL11,"&gt;0")&lt;Spielorte!$A$23,0,BE11/Spielorte!$A$23)</f>
        <v>0</v>
      </c>
      <c r="BU11" s="215">
        <f t="shared" si="19"/>
        <v>1.0999999999999999E-8</v>
      </c>
      <c r="BV11" s="214">
        <f t="shared" si="20"/>
        <v>68</v>
      </c>
    </row>
    <row r="12" spans="1:74" ht="17.100000000000001" customHeight="1" thickBot="1" x14ac:dyDescent="0.25">
      <c r="A12" s="375"/>
      <c r="B12" s="21" t="str">
        <f t="shared" si="21"/>
        <v/>
      </c>
      <c r="C12" s="22" t="str">
        <f t="shared" si="21"/>
        <v/>
      </c>
      <c r="D12" s="9" t="str">
        <f t="shared" si="21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6"/>
        <v>0</v>
      </c>
      <c r="BE12" s="213">
        <f t="shared" si="7"/>
        <v>0</v>
      </c>
      <c r="BF12" s="215">
        <f t="shared" si="8"/>
        <v>0</v>
      </c>
      <c r="BG12" s="215">
        <f t="shared" si="9"/>
        <v>0</v>
      </c>
      <c r="BH12" s="215" t="str">
        <f t="shared" si="10"/>
        <v/>
      </c>
      <c r="BI12" s="215" t="str">
        <f t="shared" si="11"/>
        <v/>
      </c>
      <c r="BJ12" s="215" t="str">
        <f t="shared" si="12"/>
        <v/>
      </c>
      <c r="BK12" s="215" t="str">
        <f t="shared" si="13"/>
        <v/>
      </c>
      <c r="BL12" s="215" t="str">
        <f t="shared" si="14"/>
        <v/>
      </c>
      <c r="BM12" s="216"/>
      <c r="BN12" s="214"/>
      <c r="BO12" s="215">
        <f t="shared" si="15"/>
        <v>0</v>
      </c>
      <c r="BP12" s="215">
        <f t="shared" si="16"/>
        <v>1.2E-8</v>
      </c>
      <c r="BQ12" s="215" t="str">
        <f t="shared" si="22"/>
        <v>Castra Regina Regensburg 3</v>
      </c>
      <c r="BR12" s="214">
        <f t="shared" si="17"/>
        <v>67</v>
      </c>
      <c r="BS12" s="215">
        <f t="shared" si="18"/>
        <v>0</v>
      </c>
      <c r="BT12" s="215">
        <f>IF(COUNTIF(BH12:BL12,"&gt;0")&lt;Spielorte!$A$23,0,BE12/Spielorte!$A$23)</f>
        <v>0</v>
      </c>
      <c r="BU12" s="215">
        <f t="shared" si="19"/>
        <v>1.2E-8</v>
      </c>
      <c r="BV12" s="214">
        <f t="shared" si="20"/>
        <v>67</v>
      </c>
    </row>
    <row r="13" spans="1:74" ht="17.100000000000001" customHeight="1" x14ac:dyDescent="0.2">
      <c r="A13" s="373" t="s">
        <v>3</v>
      </c>
      <c r="B13" s="17" t="str">
        <f t="shared" si="21"/>
        <v/>
      </c>
      <c r="C13" s="18" t="str">
        <f t="shared" si="21"/>
        <v/>
      </c>
      <c r="D13" s="14" t="str">
        <f t="shared" si="21"/>
        <v/>
      </c>
      <c r="E13" s="352">
        <f>IF(V13="","",V13)</f>
        <v>0</v>
      </c>
      <c r="F13" s="14" t="str">
        <f t="shared" si="0"/>
        <v/>
      </c>
      <c r="G13" s="352">
        <f>IF(X13="","",X13)</f>
        <v>0</v>
      </c>
      <c r="H13" s="14" t="str">
        <f t="shared" si="1"/>
        <v/>
      </c>
      <c r="I13" s="352">
        <f>IF(Z13="","",Z13)</f>
        <v>0</v>
      </c>
      <c r="J13" s="14" t="str">
        <f t="shared" si="2"/>
        <v/>
      </c>
      <c r="K13" s="352">
        <f>IF(AB13="","",AB13)</f>
        <v>0</v>
      </c>
      <c r="L13" s="14" t="str">
        <f t="shared" si="3"/>
        <v/>
      </c>
      <c r="M13" s="352">
        <f>IF(AD13="","",AD13)</f>
        <v>0</v>
      </c>
      <c r="N13" s="14" t="str">
        <f t="shared" si="4"/>
        <v/>
      </c>
      <c r="O13" s="352">
        <f>IF(AF13="","",AF13)</f>
        <v>0</v>
      </c>
      <c r="R13" s="355" t="s">
        <v>3</v>
      </c>
      <c r="S13" s="68" t="str">
        <f>IF(T13=0,"",VLOOKUP(T13,Starter!$A$1:$D$196,2,FALSE))</f>
        <v/>
      </c>
      <c r="T13" s="178"/>
      <c r="U13" s="186"/>
      <c r="V13" s="95">
        <f>IF(SUM(U13:U15)+U27=0,0,IF(ABS(SUM(U13:U15))=U27,0.5,IF(ABS(SUM(U13:U15))&gt;U27,1,0)))</f>
        <v>0</v>
      </c>
      <c r="W13" s="186"/>
      <c r="X13" s="95">
        <f>IF(SUM(W13:W15)+W27=0,0,IF(ABS(SUM(W13:W15))=W27,0.5,IF(ABS(SUM(W13:W15))&gt;W27,1,0)))</f>
        <v>0</v>
      </c>
      <c r="Y13" s="186"/>
      <c r="Z13" s="95">
        <f>IF(SUM(Y13:Y15)+Y27=0,0,IF(ABS(SUM(Y13:Y15))=Y27,0.5,IF(ABS(SUM(Y13:Y15))&gt;Y27,1,0)))</f>
        <v>0</v>
      </c>
      <c r="AA13" s="186"/>
      <c r="AB13" s="95">
        <f>IF(SUM(AA13:AA15)+AA27=0,0,IF(ABS(SUM(AA13:AA15))=AA27,0.5,IF(ABS(SUM(AA13:AA15))&gt;AA27,1,0)))</f>
        <v>0</v>
      </c>
      <c r="AC13" s="186"/>
      <c r="AD13" s="95">
        <f>IF(SUM(AC13:AC15)+AC27=0,0,IF(ABS(SUM(AC13:AC15))=AC27,0.5,IF(ABS(SUM(AC13:AC15))&gt;AC27,1,0)))</f>
        <v>0</v>
      </c>
      <c r="AE13" s="195">
        <f t="shared" si="5"/>
        <v>0</v>
      </c>
      <c r="AF13" s="180">
        <f>SUM(V13+X13+Z13+AB13+AD13)</f>
        <v>0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6"/>
        <v>0</v>
      </c>
      <c r="BE13" s="213">
        <f t="shared" si="7"/>
        <v>0</v>
      </c>
      <c r="BF13" s="215">
        <f t="shared" si="8"/>
        <v>0</v>
      </c>
      <c r="BG13" s="215">
        <f t="shared" si="9"/>
        <v>0</v>
      </c>
      <c r="BH13" s="215" t="str">
        <f t="shared" si="10"/>
        <v/>
      </c>
      <c r="BI13" s="215" t="str">
        <f t="shared" si="11"/>
        <v/>
      </c>
      <c r="BJ13" s="215" t="str">
        <f t="shared" si="12"/>
        <v/>
      </c>
      <c r="BK13" s="215" t="str">
        <f t="shared" si="13"/>
        <v/>
      </c>
      <c r="BL13" s="215" t="str">
        <f t="shared" si="14"/>
        <v/>
      </c>
      <c r="BM13" s="216"/>
      <c r="BN13" s="214"/>
      <c r="BO13" s="215">
        <f t="shared" si="15"/>
        <v>0</v>
      </c>
      <c r="BP13" s="215">
        <f t="shared" si="16"/>
        <v>1.3000000000000001E-8</v>
      </c>
      <c r="BQ13" s="215" t="str">
        <f t="shared" si="22"/>
        <v>Castra Regina Regensburg 3</v>
      </c>
      <c r="BR13" s="214">
        <f t="shared" si="17"/>
        <v>66</v>
      </c>
      <c r="BS13" s="215">
        <f t="shared" si="18"/>
        <v>0</v>
      </c>
      <c r="BT13" s="215">
        <f>IF(COUNTIF(BH13:BL13,"&gt;0")&lt;Spielorte!$A$23,0,BE13/Spielorte!$A$23)</f>
        <v>0</v>
      </c>
      <c r="BU13" s="215">
        <f t="shared" si="19"/>
        <v>1.3000000000000001E-8</v>
      </c>
      <c r="BV13" s="214">
        <f t="shared" si="20"/>
        <v>66</v>
      </c>
    </row>
    <row r="14" spans="1:74" ht="17.100000000000001" customHeight="1" x14ac:dyDescent="0.2">
      <c r="A14" s="374"/>
      <c r="B14" s="19" t="str">
        <f t="shared" si="21"/>
        <v/>
      </c>
      <c r="C14" s="20" t="str">
        <f t="shared" si="21"/>
        <v/>
      </c>
      <c r="D14" s="15" t="str">
        <f t="shared" si="21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6"/>
        <v>0</v>
      </c>
      <c r="BE14" s="213">
        <f t="shared" si="7"/>
        <v>0</v>
      </c>
      <c r="BF14" s="215">
        <f t="shared" si="8"/>
        <v>0</v>
      </c>
      <c r="BG14" s="215">
        <f t="shared" si="9"/>
        <v>0</v>
      </c>
      <c r="BH14" s="215" t="str">
        <f t="shared" si="10"/>
        <v/>
      </c>
      <c r="BI14" s="215" t="str">
        <f t="shared" si="11"/>
        <v/>
      </c>
      <c r="BJ14" s="215" t="str">
        <f t="shared" si="12"/>
        <v/>
      </c>
      <c r="BK14" s="215" t="str">
        <f t="shared" si="13"/>
        <v/>
      </c>
      <c r="BL14" s="215" t="str">
        <f t="shared" si="14"/>
        <v/>
      </c>
      <c r="BM14" s="216"/>
      <c r="BN14" s="214"/>
      <c r="BO14" s="215">
        <f t="shared" si="15"/>
        <v>0</v>
      </c>
      <c r="BP14" s="215">
        <f t="shared" si="16"/>
        <v>1.4E-8</v>
      </c>
      <c r="BQ14" s="215" t="str">
        <f t="shared" si="22"/>
        <v>Castra Regina Regensburg 3</v>
      </c>
      <c r="BR14" s="214">
        <f t="shared" si="17"/>
        <v>65</v>
      </c>
      <c r="BS14" s="215">
        <f t="shared" si="18"/>
        <v>0</v>
      </c>
      <c r="BT14" s="215">
        <f>IF(COUNTIF(BH14:BL14,"&gt;0")&lt;Spielorte!$A$23,0,BE14/Spielorte!$A$23)</f>
        <v>0</v>
      </c>
      <c r="BU14" s="215">
        <f t="shared" si="19"/>
        <v>1.4E-8</v>
      </c>
      <c r="BV14" s="214">
        <f t="shared" si="20"/>
        <v>65</v>
      </c>
    </row>
    <row r="15" spans="1:74" ht="17.100000000000001" customHeight="1" thickBot="1" x14ac:dyDescent="0.25">
      <c r="A15" s="375"/>
      <c r="B15" s="21" t="str">
        <f t="shared" si="21"/>
        <v/>
      </c>
      <c r="C15" s="22" t="str">
        <f t="shared" si="21"/>
        <v/>
      </c>
      <c r="D15" s="9" t="str">
        <f t="shared" si="21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6"/>
        <v>0</v>
      </c>
      <c r="BE15" s="213">
        <f t="shared" si="7"/>
        <v>0</v>
      </c>
      <c r="BF15" s="215">
        <f t="shared" si="8"/>
        <v>0</v>
      </c>
      <c r="BG15" s="215">
        <f t="shared" si="9"/>
        <v>0</v>
      </c>
      <c r="BH15" s="215" t="str">
        <f t="shared" si="10"/>
        <v/>
      </c>
      <c r="BI15" s="215" t="str">
        <f t="shared" si="11"/>
        <v/>
      </c>
      <c r="BJ15" s="215" t="str">
        <f t="shared" si="12"/>
        <v/>
      </c>
      <c r="BK15" s="215" t="str">
        <f t="shared" si="13"/>
        <v/>
      </c>
      <c r="BL15" s="215" t="str">
        <f t="shared" si="14"/>
        <v/>
      </c>
      <c r="BM15" s="216"/>
      <c r="BN15" s="214"/>
      <c r="BO15" s="215">
        <f t="shared" si="15"/>
        <v>0</v>
      </c>
      <c r="BP15" s="215">
        <f t="shared" si="16"/>
        <v>1.4999999999999999E-8</v>
      </c>
      <c r="BQ15" s="215" t="str">
        <f t="shared" si="22"/>
        <v>Castra Regina Regensburg 3</v>
      </c>
      <c r="BR15" s="214">
        <f t="shared" si="17"/>
        <v>64</v>
      </c>
      <c r="BS15" s="215">
        <f t="shared" si="18"/>
        <v>0</v>
      </c>
      <c r="BT15" s="215">
        <f>IF(COUNTIF(BH15:BL15,"&gt;0")&lt;Spielorte!$A$23,0,BE15/Spielorte!$A$23)</f>
        <v>0</v>
      </c>
      <c r="BU15" s="215">
        <f t="shared" si="19"/>
        <v>1.4999999999999999E-8</v>
      </c>
      <c r="BV15" s="214">
        <f t="shared" si="20"/>
        <v>64</v>
      </c>
    </row>
    <row r="16" spans="1:74" ht="17.100000000000001" customHeight="1" x14ac:dyDescent="0.2">
      <c r="A16" s="373" t="s">
        <v>11</v>
      </c>
      <c r="B16" s="17" t="str">
        <f>IF(S16=0,"",S16)</f>
        <v/>
      </c>
      <c r="C16" s="18" t="str">
        <f t="shared" si="21"/>
        <v/>
      </c>
      <c r="D16" s="14" t="str">
        <f t="shared" si="21"/>
        <v/>
      </c>
      <c r="E16" s="352">
        <f>IF(V16="","",V16)</f>
        <v>0</v>
      </c>
      <c r="F16" s="14" t="str">
        <f t="shared" si="0"/>
        <v/>
      </c>
      <c r="G16" s="352">
        <f>IF(X16="","",X16)</f>
        <v>0</v>
      </c>
      <c r="H16" s="14" t="str">
        <f t="shared" si="1"/>
        <v/>
      </c>
      <c r="I16" s="352">
        <f>IF(Z16="","",Z16)</f>
        <v>0</v>
      </c>
      <c r="J16" s="14" t="str">
        <f t="shared" si="2"/>
        <v/>
      </c>
      <c r="K16" s="352">
        <f>IF(AB16="","",AB16)</f>
        <v>0</v>
      </c>
      <c r="L16" s="14" t="str">
        <f t="shared" si="3"/>
        <v/>
      </c>
      <c r="M16" s="352">
        <f>IF(AD16="","",AD16)</f>
        <v>0</v>
      </c>
      <c r="N16" s="14" t="str">
        <f t="shared" si="4"/>
        <v/>
      </c>
      <c r="O16" s="352">
        <f>IF(AF16="","",AF16)</f>
        <v>0</v>
      </c>
      <c r="R16" s="355" t="s">
        <v>11</v>
      </c>
      <c r="S16" s="68" t="str">
        <f>IF(T16=0,"",VLOOKUP(T16,Starter!$A$1:$D$196,2,FALSE))</f>
        <v/>
      </c>
      <c r="T16" s="178"/>
      <c r="U16" s="186"/>
      <c r="V16" s="95">
        <f>IF(SUM(U16:U18)+U28=0,0,IF(ABS(SUM(U16:U18))=U28,0.5,IF(ABS(SUM(U16:U18))&gt;U28,1,0)))</f>
        <v>0</v>
      </c>
      <c r="W16" s="186"/>
      <c r="X16" s="95">
        <f>IF(SUM(W16:W18)+W28=0,0,IF(ABS(SUM(W16:W18))=W28,0.5,IF(ABS(SUM(W16:W18))&gt;W28,1,0)))</f>
        <v>0</v>
      </c>
      <c r="Y16" s="186"/>
      <c r="Z16" s="95">
        <f>IF(SUM(Y16:Y18)+Y28=0,0,IF(ABS(SUM(Y16:Y18))=Y28,0.5,IF(ABS(SUM(Y16:Y18))&gt;Y28,1,0)))</f>
        <v>0</v>
      </c>
      <c r="AA16" s="186"/>
      <c r="AB16" s="95">
        <f>IF(SUM(AA16:AA18)+AA28=0,0,IF(ABS(SUM(AA16:AA18))=AA28,0.5,IF(ABS(SUM(AA16:AA18))&gt;AA28,1,0)))</f>
        <v>0</v>
      </c>
      <c r="AC16" s="186"/>
      <c r="AD16" s="95">
        <f>IF(SUM(AC16:AC18)+AC28=0,0,IF(ABS(SUM(AC16:AC18))=AC28,0.5,IF(ABS(SUM(AC16:AC18))&gt;AC28,1,0)))</f>
        <v>0</v>
      </c>
      <c r="AE16" s="195">
        <f t="shared" si="5"/>
        <v>0</v>
      </c>
      <c r="AF16" s="180">
        <f>SUM(V16+X16+Z16+AB16+AD16)</f>
        <v>0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6"/>
        <v>0</v>
      </c>
      <c r="BE16" s="213">
        <f t="shared" si="7"/>
        <v>0</v>
      </c>
      <c r="BF16" s="215">
        <f t="shared" si="8"/>
        <v>0</v>
      </c>
      <c r="BG16" s="215">
        <f t="shared" si="9"/>
        <v>0</v>
      </c>
      <c r="BH16" s="215" t="str">
        <f t="shared" si="10"/>
        <v/>
      </c>
      <c r="BI16" s="215" t="str">
        <f t="shared" si="11"/>
        <v/>
      </c>
      <c r="BJ16" s="215" t="str">
        <f t="shared" si="12"/>
        <v/>
      </c>
      <c r="BK16" s="215" t="str">
        <f t="shared" si="13"/>
        <v/>
      </c>
      <c r="BL16" s="215" t="str">
        <f t="shared" si="14"/>
        <v/>
      </c>
      <c r="BM16" s="216"/>
      <c r="BN16" s="214"/>
      <c r="BO16" s="215">
        <f t="shared" si="15"/>
        <v>0</v>
      </c>
      <c r="BP16" s="215">
        <f t="shared" si="16"/>
        <v>1.6000000000000001E-8</v>
      </c>
      <c r="BQ16" s="215" t="str">
        <f t="shared" si="22"/>
        <v>Castra Regina Regensburg 3</v>
      </c>
      <c r="BR16" s="214">
        <f t="shared" si="17"/>
        <v>63</v>
      </c>
      <c r="BS16" s="215">
        <f t="shared" si="18"/>
        <v>0</v>
      </c>
      <c r="BT16" s="215">
        <f>IF(COUNTIF(BH16:BL16,"&gt;0")&lt;Spielorte!$A$23,0,BE16/Spielorte!$A$23)</f>
        <v>0</v>
      </c>
      <c r="BU16" s="215">
        <f t="shared" si="19"/>
        <v>1.6000000000000001E-8</v>
      </c>
      <c r="BV16" s="214">
        <f t="shared" si="20"/>
        <v>63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21"/>
        <v/>
      </c>
      <c r="D17" s="15" t="str">
        <f t="shared" si="21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6"/>
        <v>0</v>
      </c>
      <c r="BE17" s="213">
        <f t="shared" si="7"/>
        <v>0</v>
      </c>
      <c r="BF17" s="215">
        <f t="shared" si="8"/>
        <v>0</v>
      </c>
      <c r="BG17" s="215">
        <f t="shared" si="9"/>
        <v>0</v>
      </c>
      <c r="BH17" s="215" t="str">
        <f t="shared" si="10"/>
        <v/>
      </c>
      <c r="BI17" s="215" t="str">
        <f t="shared" si="11"/>
        <v/>
      </c>
      <c r="BJ17" s="215" t="str">
        <f t="shared" si="12"/>
        <v/>
      </c>
      <c r="BK17" s="215" t="str">
        <f t="shared" si="13"/>
        <v/>
      </c>
      <c r="BL17" s="215" t="str">
        <f t="shared" si="14"/>
        <v/>
      </c>
      <c r="BM17" s="216"/>
      <c r="BN17" s="214"/>
      <c r="BO17" s="215">
        <f t="shared" si="15"/>
        <v>0</v>
      </c>
      <c r="BP17" s="215">
        <f t="shared" si="16"/>
        <v>1.7E-8</v>
      </c>
      <c r="BQ17" s="215" t="str">
        <f t="shared" si="22"/>
        <v>Castra Regina Regensburg 3</v>
      </c>
      <c r="BR17" s="214">
        <f t="shared" si="17"/>
        <v>62</v>
      </c>
      <c r="BS17" s="215">
        <f t="shared" si="18"/>
        <v>0</v>
      </c>
      <c r="BT17" s="215">
        <f>IF(COUNTIF(BH17:BL17,"&gt;0")&lt;Spielorte!$A$23,0,BE17/Spielorte!$A$23)</f>
        <v>0</v>
      </c>
      <c r="BU17" s="215">
        <f t="shared" si="19"/>
        <v>1.7E-8</v>
      </c>
      <c r="BV17" s="214">
        <f t="shared" si="20"/>
        <v>62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21"/>
        <v/>
      </c>
      <c r="D18" s="9" t="str">
        <f t="shared" si="21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6"/>
        <v>0</v>
      </c>
      <c r="BE18" s="213">
        <f t="shared" si="7"/>
        <v>0</v>
      </c>
      <c r="BF18" s="215">
        <f t="shared" si="8"/>
        <v>0</v>
      </c>
      <c r="BG18" s="215">
        <f t="shared" si="9"/>
        <v>0</v>
      </c>
      <c r="BH18" s="215" t="str">
        <f t="shared" si="10"/>
        <v/>
      </c>
      <c r="BI18" s="215" t="str">
        <f t="shared" si="11"/>
        <v/>
      </c>
      <c r="BJ18" s="215" t="str">
        <f t="shared" si="12"/>
        <v/>
      </c>
      <c r="BK18" s="215" t="str">
        <f t="shared" si="13"/>
        <v/>
      </c>
      <c r="BL18" s="215" t="str">
        <f t="shared" si="14"/>
        <v/>
      </c>
      <c r="BM18" s="216"/>
      <c r="BN18" s="214"/>
      <c r="BO18" s="215">
        <f t="shared" si="15"/>
        <v>0</v>
      </c>
      <c r="BP18" s="215">
        <f t="shared" si="16"/>
        <v>1.7999999999999999E-8</v>
      </c>
      <c r="BQ18" s="215" t="str">
        <f t="shared" si="22"/>
        <v>Castra Regina Regensburg 3</v>
      </c>
      <c r="BR18" s="214">
        <f t="shared" si="17"/>
        <v>61</v>
      </c>
      <c r="BS18" s="215">
        <f t="shared" si="18"/>
        <v>0</v>
      </c>
      <c r="BT18" s="215">
        <f>IF(COUNTIF(BH18:BL18,"&gt;0")&lt;Spielorte!$A$23,0,BE18/Spielorte!$A$23)</f>
        <v>0</v>
      </c>
      <c r="BU18" s="215">
        <f t="shared" si="19"/>
        <v>1.7999999999999999E-8</v>
      </c>
      <c r="BV18" s="214">
        <f t="shared" si="20"/>
        <v>61</v>
      </c>
    </row>
    <row r="19" spans="1:74" ht="27.75" customHeight="1" thickBot="1" x14ac:dyDescent="0.25">
      <c r="B19" s="11" t="str">
        <f>IF(S19=0,"",S19)</f>
        <v>Gesamt</v>
      </c>
      <c r="C19" s="26" t="str">
        <f t="shared" si="21"/>
        <v/>
      </c>
      <c r="D19" s="16" t="str">
        <f t="shared" si="21"/>
        <v/>
      </c>
      <c r="E19" s="12">
        <f>IF(V19="","",V19)</f>
        <v>0</v>
      </c>
      <c r="F19" s="16" t="str">
        <f t="shared" si="0"/>
        <v/>
      </c>
      <c r="G19" s="12">
        <f>IF(X19="","",X19)</f>
        <v>0</v>
      </c>
      <c r="H19" s="16" t="str">
        <f t="shared" si="1"/>
        <v/>
      </c>
      <c r="I19" s="12">
        <f>IF(Z19="","",Z19)</f>
        <v>0</v>
      </c>
      <c r="J19" s="16" t="str">
        <f t="shared" si="2"/>
        <v/>
      </c>
      <c r="K19" s="12">
        <f>IF(AB19="","",AB19)</f>
        <v>0</v>
      </c>
      <c r="L19" s="16" t="str">
        <f t="shared" si="3"/>
        <v/>
      </c>
      <c r="M19" s="12">
        <f>IF(AD19="","",AD19)</f>
        <v>0</v>
      </c>
      <c r="N19" s="16" t="str">
        <f t="shared" si="4"/>
        <v/>
      </c>
      <c r="O19" s="12">
        <f>IF(AF19="","",AF19)</f>
        <v>0</v>
      </c>
      <c r="S19" s="11" t="s">
        <v>1791</v>
      </c>
      <c r="T19" s="71"/>
      <c r="U19" s="188">
        <f>ABS(SUM(U7:U9))+ABS(SUM(U10:U12))+ABS(SUM(U13:U15))+ABS(SUM(U16:U18))</f>
        <v>0</v>
      </c>
      <c r="V19" s="98">
        <f>IF(U19+U29=0,0,IF(U19=U29,1,IF(U19&gt;U29,2,0)))</f>
        <v>0</v>
      </c>
      <c r="W19" s="188">
        <f>ABS(SUM(W7:W9))+ABS(SUM(W10:W12))+ABS(SUM(W13:W15))+ABS(SUM(W16:W18))</f>
        <v>0</v>
      </c>
      <c r="X19" s="98">
        <f>IF(W19+W29=0,0,IF(W19=W29,1,IF(W19&gt;W29,2,0)))</f>
        <v>0</v>
      </c>
      <c r="Y19" s="188">
        <f>ABS(SUM(Y7:Y9))+ABS(SUM(Y10:Y12))+ABS(SUM(Y13:Y15))+ABS(SUM(Y16:Y18))</f>
        <v>0</v>
      </c>
      <c r="Z19" s="98">
        <f>IF(Y19+Y29=0,0,IF(Y19=Y29,1,IF(Y19&gt;Y29,2,0)))</f>
        <v>0</v>
      </c>
      <c r="AA19" s="188">
        <f>ABS(SUM(AA7:AA9))+ABS(SUM(AA10:AA12))+ABS(SUM(AA13:AA15))+ABS(SUM(AA16:AA18))</f>
        <v>0</v>
      </c>
      <c r="AB19" s="98">
        <f>IF(AA19+AA29=0,0,IF(AA19=AA29,1,IF(AA19&gt;AA29,2,0)))</f>
        <v>0</v>
      </c>
      <c r="AC19" s="188">
        <f>ABS(SUM(AC7:AC9))+ABS(SUM(AC10:AC12))+ABS(SUM(AC13:AC15))+ABS(SUM(AC16:AC18))</f>
        <v>0</v>
      </c>
      <c r="AD19" s="98">
        <f>IF(AC19+AC29=0,0,IF(AC19=AC29,1,IF(AC19&gt;AC29,2,0)))</f>
        <v>0</v>
      </c>
      <c r="AE19" s="198">
        <f>SUM(U19+W19+Y19+AA19+AC19)</f>
        <v>0</v>
      </c>
      <c r="AF19" s="12">
        <f>SUM(V19+X19+Z19+AB19+AD19)</f>
        <v>0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21"/>
        <v/>
      </c>
      <c r="D20" s="1" t="str">
        <f t="shared" si="21"/>
        <v/>
      </c>
      <c r="E20" s="23">
        <f>IF(V20="","",V20)</f>
        <v>0</v>
      </c>
      <c r="F20" s="1" t="str">
        <f t="shared" si="0"/>
        <v/>
      </c>
      <c r="G20" s="23">
        <f>IF(X20="","",X20)</f>
        <v>0</v>
      </c>
      <c r="H20" s="1" t="str">
        <f t="shared" si="1"/>
        <v/>
      </c>
      <c r="I20" s="23">
        <f>IF(Z20="","",Z20)</f>
        <v>0</v>
      </c>
      <c r="J20" s="1" t="str">
        <f t="shared" si="2"/>
        <v/>
      </c>
      <c r="K20" s="23">
        <f>IF(AB20="","",AB20)</f>
        <v>0</v>
      </c>
      <c r="L20" s="1" t="str">
        <f t="shared" si="3"/>
        <v/>
      </c>
      <c r="M20" s="23">
        <f>IF(AD20="","",AD20)</f>
        <v>0</v>
      </c>
      <c r="N20" s="1" t="str">
        <f t="shared" si="4"/>
        <v/>
      </c>
      <c r="O20" s="23">
        <f>IF(AF20="","",AF20)</f>
        <v>0</v>
      </c>
      <c r="S20" s="8" t="s">
        <v>1802</v>
      </c>
      <c r="T20" s="1"/>
      <c r="U20" s="1"/>
      <c r="V20" s="72">
        <f>SUM(V7:V19)</f>
        <v>0</v>
      </c>
      <c r="W20" s="1"/>
      <c r="X20" s="72">
        <f>SUM(X7:X19)</f>
        <v>0</v>
      </c>
      <c r="Y20" s="1"/>
      <c r="Z20" s="72">
        <f>SUM(Z7:Z19)</f>
        <v>0</v>
      </c>
      <c r="AA20" s="1"/>
      <c r="AB20" s="72">
        <f>SUM(AB7:AB19)</f>
        <v>0</v>
      </c>
      <c r="AC20" s="1"/>
      <c r="AD20" s="72">
        <f>SUM(AD7:AD19)</f>
        <v>0</v>
      </c>
      <c r="AE20" s="1"/>
      <c r="AF20" s="72">
        <f>SUM(AF7:AF19)</f>
        <v>0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0</v>
      </c>
      <c r="BB20" s="213">
        <f>AE19</f>
        <v>0</v>
      </c>
      <c r="BC20" s="214">
        <f>+S2</f>
        <v>1</v>
      </c>
      <c r="BF20" s="215">
        <f>SUM(BF1:BF19)</f>
        <v>0</v>
      </c>
      <c r="BM20" s="212">
        <f>+BB20/1000000+BA20</f>
        <v>0</v>
      </c>
      <c r="BN20" s="214">
        <f>RANK(BM20,BM:BM)</f>
        <v>1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K24" si="23">IF(S22=0,"",S22)</f>
        <v>Gegner-Nr.:</v>
      </c>
      <c r="C22" s="5" t="str">
        <f t="shared" si="23"/>
        <v>&gt;&gt;&gt;&gt;</v>
      </c>
      <c r="D22" s="350">
        <f t="shared" si="23"/>
        <v>2</v>
      </c>
      <c r="E22" s="350" t="str">
        <f t="shared" si="23"/>
        <v/>
      </c>
      <c r="F22" s="350">
        <f t="shared" si="23"/>
        <v>6</v>
      </c>
      <c r="G22" s="350" t="str">
        <f t="shared" si="23"/>
        <v/>
      </c>
      <c r="H22" s="350">
        <f t="shared" si="23"/>
        <v>3</v>
      </c>
      <c r="I22" s="350" t="str">
        <f t="shared" si="23"/>
        <v/>
      </c>
      <c r="J22" s="350">
        <f t="shared" si="23"/>
        <v>4</v>
      </c>
      <c r="K22" s="350" t="str">
        <f t="shared" si="23"/>
        <v/>
      </c>
      <c r="L22" s="350">
        <f t="shared" ref="L22:M24" si="24">IF(AC22=0,"",AC22)</f>
        <v>5</v>
      </c>
      <c r="M22" s="350" t="str">
        <f t="shared" si="24"/>
        <v/>
      </c>
      <c r="N22" s="351"/>
      <c r="O22" s="351"/>
      <c r="S22" s="13" t="s">
        <v>1789</v>
      </c>
      <c r="T22" s="5" t="s">
        <v>1790</v>
      </c>
      <c r="U22" s="369">
        <f>VLOOKUP($S2,Schlüssel!$A$5:$DG$10,103)</f>
        <v>2</v>
      </c>
      <c r="V22" s="370"/>
      <c r="W22" s="369">
        <f>VLOOKUP($S2,Schlüssel!$A$5:$EK$10,104)</f>
        <v>6</v>
      </c>
      <c r="X22" s="370"/>
      <c r="Y22" s="369">
        <f>VLOOKUP($S2,Schlüssel!$A$5:$EK$10,105)</f>
        <v>3</v>
      </c>
      <c r="Z22" s="370"/>
      <c r="AA22" s="369">
        <f>VLOOKUP($S2,Schlüssel!$A$5:$EK$10,106)</f>
        <v>4</v>
      </c>
      <c r="AB22" s="370"/>
      <c r="AC22" s="369">
        <f>VLOOKUP($S2,Schlüssel!$A$5:$EK$10,107)</f>
        <v>5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si="23"/>
        <v/>
      </c>
      <c r="C23" s="1" t="str">
        <f t="shared" si="23"/>
        <v/>
      </c>
      <c r="D23" s="347" t="str">
        <f t="shared" si="23"/>
        <v>Herzogenaurach 1</v>
      </c>
      <c r="E23" s="348" t="str">
        <f t="shared" si="23"/>
        <v/>
      </c>
      <c r="F23" s="347" t="str">
        <f t="shared" si="23"/>
        <v>Adler Nürnberg 1</v>
      </c>
      <c r="G23" s="348" t="str">
        <f t="shared" si="23"/>
        <v/>
      </c>
      <c r="H23" s="347" t="str">
        <f t="shared" si="23"/>
        <v>Kings Club Bayreuth Land 2</v>
      </c>
      <c r="I23" s="348" t="str">
        <f t="shared" si="23"/>
        <v/>
      </c>
      <c r="J23" s="347" t="str">
        <f t="shared" si="23"/>
        <v>Kings Club Bayreuth Land 3</v>
      </c>
      <c r="K23" s="348" t="str">
        <f t="shared" si="23"/>
        <v/>
      </c>
      <c r="L23" s="347" t="str">
        <f t="shared" si="24"/>
        <v>Castra Regina Regensburg 2</v>
      </c>
      <c r="M23" s="348" t="str">
        <f t="shared" si="24"/>
        <v/>
      </c>
      <c r="N23" s="349"/>
      <c r="O23" s="349"/>
      <c r="S23" s="4"/>
      <c r="T23" s="1"/>
      <c r="U23" s="347" t="str">
        <f>VLOOKUP(U22,Schlüssel!$A$5:$K$10,2)</f>
        <v>Herzogenaurach 1</v>
      </c>
      <c r="V23" s="348"/>
      <c r="W23" s="347" t="str">
        <f>VLOOKUP(W22,Schlüssel!$A$5:$K$10,2)</f>
        <v>Adler Nürnberg 1</v>
      </c>
      <c r="X23" s="348"/>
      <c r="Y23" s="347" t="str">
        <f>VLOOKUP(Y22,Schlüssel!$A$5:$K$10,2)</f>
        <v>Kings Club Bayreuth Land 2</v>
      </c>
      <c r="Z23" s="348"/>
      <c r="AA23" s="347" t="str">
        <f>VLOOKUP(AA22,Schlüssel!$A$5:$K$10,2)</f>
        <v>Kings Club Bayreuth Land 3</v>
      </c>
      <c r="AB23" s="348"/>
      <c r="AC23" s="347" t="str">
        <f>VLOOKUP(AC22,Schlüssel!$A$5:$K$10,2)</f>
        <v>Castra Regina Regensburg 2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3"/>
        <v/>
      </c>
      <c r="C24" s="1" t="str">
        <f t="shared" si="23"/>
        <v/>
      </c>
      <c r="D24" s="346" t="str">
        <f t="shared" si="23"/>
        <v/>
      </c>
      <c r="E24" s="346" t="str">
        <f t="shared" si="23"/>
        <v/>
      </c>
      <c r="F24" s="346" t="str">
        <f t="shared" si="23"/>
        <v/>
      </c>
      <c r="G24" s="346" t="str">
        <f t="shared" si="23"/>
        <v/>
      </c>
      <c r="H24" s="346" t="str">
        <f t="shared" si="23"/>
        <v/>
      </c>
      <c r="I24" s="346" t="str">
        <f t="shared" si="23"/>
        <v/>
      </c>
      <c r="J24" s="346" t="str">
        <f t="shared" si="23"/>
        <v/>
      </c>
      <c r="K24" s="346" t="str">
        <f t="shared" si="23"/>
        <v/>
      </c>
      <c r="L24" s="346" t="str">
        <f t="shared" si="24"/>
        <v/>
      </c>
      <c r="M24" s="346" t="str">
        <f t="shared" si="24"/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0</v>
      </c>
      <c r="E25" s="344" t="str">
        <f>IF(V25=0,"",V25)</f>
        <v/>
      </c>
      <c r="F25" s="344">
        <f>IF(W25=301,"",W25)</f>
        <v>0</v>
      </c>
      <c r="G25" s="344" t="str">
        <f>IF(X25=0,"",X25)</f>
        <v/>
      </c>
      <c r="H25" s="344">
        <f>IF(Y25=301,"",Y25)</f>
        <v>0</v>
      </c>
      <c r="I25" s="344" t="str">
        <f>IF(Z25=0,"",Z25)</f>
        <v/>
      </c>
      <c r="J25" s="344">
        <f>IF(AA25=301,"",AA25)</f>
        <v>0</v>
      </c>
      <c r="K25" s="344" t="str">
        <f>IF(AB25=0,"",AB25)</f>
        <v/>
      </c>
      <c r="L25" s="344">
        <f>IF(AC25=301,"",AC25)</f>
        <v>0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0</v>
      </c>
      <c r="V25" s="368"/>
      <c r="W25" s="367">
        <f>ABS(INDEX(W:W,MATCH(W22,$S:$S,0)+5)+INDEX(W:W,MATCH(W22,$S:$S,0)+6)+INDEX(W:W,MATCH(W22,$S:$S,0)+7))</f>
        <v>0</v>
      </c>
      <c r="X25" s="368"/>
      <c r="Y25" s="367">
        <f>ABS(INDEX(Y:Y,MATCH(Y22,$S:$S,0)+5)+INDEX(Y:Y,MATCH(Y22,$S:$S,0)+6)+INDEX(Y:Y,MATCH(Y22,$S:$S,0)+7))</f>
        <v>0</v>
      </c>
      <c r="Z25" s="368"/>
      <c r="AA25" s="367">
        <f>ABS(INDEX(AA:AA,MATCH(AA22,$S:$S,0)+5)+INDEX(AA:AA,MATCH(AA22,$S:$S,0)+6)+INDEX(AA:AA,MATCH(AA22,$S:$S,0)+7))</f>
        <v>0</v>
      </c>
      <c r="AB25" s="368"/>
      <c r="AC25" s="367">
        <f>ABS(INDEX(AC:AC,MATCH(AC22,$S:$S,0)+5)+INDEX(AC:AC,MATCH(AC22,$S:$S,0)+6)+INDEX(AC:AC,MATCH(AC22,$S:$S,0)+7))</f>
        <v>0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0</v>
      </c>
      <c r="E26" s="344" t="str">
        <f>IF(V26=0,"",V26)</f>
        <v/>
      </c>
      <c r="F26" s="344">
        <f>IF(W26=301,"",W26)</f>
        <v>0</v>
      </c>
      <c r="G26" s="344" t="str">
        <f>IF(X26=0,"",X26)</f>
        <v/>
      </c>
      <c r="H26" s="344">
        <f>IF(Y26=301,"",Y26)</f>
        <v>0</v>
      </c>
      <c r="I26" s="344" t="str">
        <f>IF(Z26=0,"",Z26)</f>
        <v/>
      </c>
      <c r="J26" s="344">
        <f>IF(AA26=301,"",AA26)</f>
        <v>0</v>
      </c>
      <c r="K26" s="344" t="str">
        <f>IF(AB26=0,"",AB26)</f>
        <v/>
      </c>
      <c r="L26" s="344">
        <f>IF(AC26=301,"",AC26)</f>
        <v>0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0</v>
      </c>
      <c r="V26" s="366"/>
      <c r="W26" s="365">
        <f>ABS(INDEX(W:W,MATCH(W22,$S:$S,0)+8)+INDEX(W:W,MATCH(W22,$S:$S,0)+9)+INDEX(W:W,MATCH(W22,$S:$S,0)+10))</f>
        <v>0</v>
      </c>
      <c r="X26" s="366"/>
      <c r="Y26" s="365">
        <f>ABS(INDEX(Y:Y,MATCH(Y22,$S:$S,0)+8)+INDEX(Y:Y,MATCH(Y22,$S:$S,0)+9)+INDEX(Y:Y,MATCH(Y22,$S:$S,0)+10))</f>
        <v>0</v>
      </c>
      <c r="Z26" s="366"/>
      <c r="AA26" s="365">
        <f>ABS(INDEX(AA:AA,MATCH(AA22,$S:$S,0)+8)+INDEX(AA:AA,MATCH(AA22,$S:$S,0)+9)+INDEX(AA:AA,MATCH(AA22,$S:$S,0)+10))</f>
        <v>0</v>
      </c>
      <c r="AB26" s="366"/>
      <c r="AC26" s="365">
        <f>ABS(INDEX(AC:AC,MATCH(AC22,$S:$S,0)+8)+INDEX(AC:AC,MATCH(AC22,$S:$S,0)+9)+INDEX(AC:AC,MATCH(AC22,$S:$S,0)+10))</f>
        <v>0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0</v>
      </c>
      <c r="E27" s="344" t="str">
        <f>IF(V27=0,"",V27)</f>
        <v/>
      </c>
      <c r="F27" s="344">
        <f>IF(W27=301,"",W27)</f>
        <v>0</v>
      </c>
      <c r="G27" s="344" t="str">
        <f>IF(X27=0,"",X27)</f>
        <v/>
      </c>
      <c r="H27" s="344">
        <f>IF(Y27=301,"",Y27)</f>
        <v>0</v>
      </c>
      <c r="I27" s="344" t="str">
        <f>IF(Z27=0,"",Z27)</f>
        <v/>
      </c>
      <c r="J27" s="344">
        <f>IF(AA27=301,"",AA27)</f>
        <v>0</v>
      </c>
      <c r="K27" s="344" t="str">
        <f>IF(AB27=0,"",AB27)</f>
        <v/>
      </c>
      <c r="L27" s="344">
        <f>IF(AC27=301,"",AC27)</f>
        <v>0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0</v>
      </c>
      <c r="V27" s="366"/>
      <c r="W27" s="365">
        <f>ABS(INDEX(W:W,MATCH(W22,$S:$S,0)+11)+INDEX(W:W,MATCH(W22,$S:$S,0)+12)+INDEX(W:W,MATCH(W22,$S:$S,0)+13))</f>
        <v>0</v>
      </c>
      <c r="X27" s="366"/>
      <c r="Y27" s="365">
        <f>ABS(INDEX(Y:Y,MATCH(Y22,$S:$S,0)+11)+INDEX(Y:Y,MATCH(Y22,$S:$S,0)+12)+INDEX(Y:Y,MATCH(Y22,$S:$S,0)+13))</f>
        <v>0</v>
      </c>
      <c r="Z27" s="366"/>
      <c r="AA27" s="365">
        <f>ABS(INDEX(AA:AA,MATCH(AA22,$S:$S,0)+11)+INDEX(AA:AA,MATCH(AA22,$S:$S,0)+12)+INDEX(AA:AA,MATCH(AA22,$S:$S,0)+13))</f>
        <v>0</v>
      </c>
      <c r="AB27" s="366"/>
      <c r="AC27" s="365">
        <f>ABS(INDEX(AC:AC,MATCH(AC22,$S:$S,0)+11)+INDEX(AC:AC,MATCH(AC22,$S:$S,0)+12)+INDEX(AC:AC,MATCH(AC22,$S:$S,0)+13))</f>
        <v>0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0</v>
      </c>
      <c r="E28" s="344" t="str">
        <f>IF(V28=0,"",V28)</f>
        <v/>
      </c>
      <c r="F28" s="344">
        <f>IF(W28=301,"",W28)</f>
        <v>0</v>
      </c>
      <c r="G28" s="344" t="str">
        <f>IF(X28=0,"",X28)</f>
        <v/>
      </c>
      <c r="H28" s="344">
        <f>IF(Y28=301,"",Y28)</f>
        <v>0</v>
      </c>
      <c r="I28" s="344" t="str">
        <f>IF(Z28=0,"",Z28)</f>
        <v/>
      </c>
      <c r="J28" s="344">
        <f>IF(AA28=301,"",AA28)</f>
        <v>0</v>
      </c>
      <c r="K28" s="344" t="str">
        <f>IF(AB28=0,"",AB28)</f>
        <v/>
      </c>
      <c r="L28" s="344">
        <f>IF(AC28=301,"",AC28)</f>
        <v>0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0</v>
      </c>
      <c r="V28" s="366"/>
      <c r="W28" s="365">
        <f>ABS(INDEX(W:W,MATCH(W22,$S:$S,0)+14)+INDEX(W:W,MATCH(W22,$S:$S,0)+15)+INDEX(W:W,MATCH(W22,$S:$S,0)+16))</f>
        <v>0</v>
      </c>
      <c r="X28" s="366"/>
      <c r="Y28" s="365">
        <f>ABS(INDEX(Y:Y,MATCH(Y22,$S:$S,0)+14)+INDEX(Y:Y,MATCH(Y22,$S:$S,0)+15)+INDEX(Y:Y,MATCH(Y22,$S:$S,0)+16))</f>
        <v>0</v>
      </c>
      <c r="Z28" s="366"/>
      <c r="AA28" s="365">
        <f>ABS(INDEX(AA:AA,MATCH(AA22,$S:$S,0)+14)+INDEX(AA:AA,MATCH(AA22,$S:$S,0)+15)+INDEX(AA:AA,MATCH(AA22,$S:$S,0)+16))</f>
        <v>0</v>
      </c>
      <c r="AB28" s="366"/>
      <c r="AC28" s="365">
        <f>ABS(INDEX(AC:AC,MATCH(AC22,$S:$S,0)+14)+INDEX(AC:AC,MATCH(AC22,$S:$S,0)+15)+INDEX(AC:AC,MATCH(AC22,$S:$S,0)+16))</f>
        <v>0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0</v>
      </c>
      <c r="E29" s="343" t="str">
        <f>IF(V29=0,"",V29)</f>
        <v/>
      </c>
      <c r="F29" s="343">
        <f>IF(W29=1505,"",W29)</f>
        <v>0</v>
      </c>
      <c r="G29" s="343" t="str">
        <f>IF(X29=0,"",X29)</f>
        <v/>
      </c>
      <c r="H29" s="343">
        <f>IF(Y29=1505,"",Y29)</f>
        <v>0</v>
      </c>
      <c r="I29" s="343" t="str">
        <f>IF(Z29=0,"",Z29)</f>
        <v/>
      </c>
      <c r="J29" s="343">
        <f>IF(AA29=1505,"",AA29)</f>
        <v>0</v>
      </c>
      <c r="K29" s="343" t="str">
        <f>IF(AB29=0,"",AB29)</f>
        <v/>
      </c>
      <c r="L29" s="343">
        <f>IF(AC29=1505,"",AC29)</f>
        <v>0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0</v>
      </c>
      <c r="V29" s="360"/>
      <c r="W29" s="359">
        <f>SUM(W25:W28)</f>
        <v>0</v>
      </c>
      <c r="X29" s="360"/>
      <c r="Y29" s="359">
        <f>SUM(Y25:Y28)</f>
        <v>0</v>
      </c>
      <c r="Z29" s="360"/>
      <c r="AA29" s="359">
        <f>SUM(AA25:AA28)</f>
        <v>0</v>
      </c>
      <c r="AB29" s="360"/>
      <c r="AC29" s="359">
        <f>SUM(AC25:AC28)</f>
        <v>0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 t="str">
        <f>AD31</f>
        <v>27.04.</v>
      </c>
      <c r="N31" s="376"/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Schlüssel!$DI$1</f>
        <v>27.04.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Regensburg Super Bowl</v>
      </c>
      <c r="F32" s="77"/>
      <c r="G32" s="77"/>
      <c r="H32" s="77"/>
      <c r="I32" s="77"/>
      <c r="J32" s="77"/>
      <c r="K32" s="77"/>
      <c r="L32" s="29" t="str">
        <f>AC32</f>
        <v>Spieltag:</v>
      </c>
      <c r="M32" s="86">
        <f>AD32</f>
        <v>6</v>
      </c>
      <c r="N32" s="28"/>
      <c r="R32" s="49"/>
      <c r="S32" s="50">
        <v>2</v>
      </c>
      <c r="U32" s="30" t="s">
        <v>1786</v>
      </c>
      <c r="V32" s="84" t="str">
        <f>Schlüssel!$CY$2</f>
        <v>Regensburg Super Bowl</v>
      </c>
      <c r="X32" s="77"/>
      <c r="Y32" s="77"/>
      <c r="Z32" s="77"/>
      <c r="AA32" s="77"/>
      <c r="AB32" s="77"/>
      <c r="AC32" s="29" t="s">
        <v>1784</v>
      </c>
      <c r="AD32" s="34">
        <v>6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VLOOKUP(S32,Schlüssel!$A$5:$DZ$10,113)</f>
        <v>16</v>
      </c>
      <c r="W34" s="193" t="s">
        <v>10</v>
      </c>
      <c r="X34" s="191">
        <f>VLOOKUP(S32,Schlüssel!$A$5:$DZ$10,114)</f>
        <v>13</v>
      </c>
      <c r="Y34" s="193" t="s">
        <v>10</v>
      </c>
      <c r="Z34" s="191">
        <f>VLOOKUP(S32,Schlüssel!$A$5:$DZ$10,115)</f>
        <v>11</v>
      </c>
      <c r="AA34" s="193" t="s">
        <v>10</v>
      </c>
      <c r="AB34" s="191">
        <f>VLOOKUP(S32,Schlüssel!$A$5:$DZ$10,116)</f>
        <v>15</v>
      </c>
      <c r="AC34" s="193" t="s">
        <v>10</v>
      </c>
      <c r="AD34" s="192">
        <f>VLOOKUP(S32,Schlüssel!$A$5:$DZ$10,117)</f>
        <v>14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/>
      </c>
      <c r="C37" s="18" t="str">
        <f>IF(T37=0,"",T37)</f>
        <v/>
      </c>
      <c r="D37" s="14" t="str">
        <f>IF(U37=0,"",U37)</f>
        <v/>
      </c>
      <c r="E37" s="352">
        <f>IF(V37="","",V37)</f>
        <v>0</v>
      </c>
      <c r="F37" s="14" t="str">
        <f t="shared" ref="F37:F50" si="26">IF(W37=0,"",W37)</f>
        <v/>
      </c>
      <c r="G37" s="352">
        <f>IF(X37="","",X37)</f>
        <v>0</v>
      </c>
      <c r="H37" s="14" t="str">
        <f t="shared" ref="H37:H50" si="27">IF(Y37=0,"",Y37)</f>
        <v/>
      </c>
      <c r="I37" s="352">
        <f>IF(Z37="","",Z37)</f>
        <v>0</v>
      </c>
      <c r="J37" s="14" t="str">
        <f t="shared" ref="J37:J50" si="28">IF(AA37=0,"",AA37)</f>
        <v/>
      </c>
      <c r="K37" s="352">
        <f>IF(AB37="","",AB37)</f>
        <v>0</v>
      </c>
      <c r="L37" s="14" t="str">
        <f t="shared" ref="L37:L50" si="29">IF(AC37=0,"",AC37)</f>
        <v/>
      </c>
      <c r="M37" s="352">
        <f>IF(AD37="","",AD37)</f>
        <v>0</v>
      </c>
      <c r="N37" s="14" t="str">
        <f t="shared" ref="N37:N50" si="30">IF(AE37=0,"",AE37)</f>
        <v/>
      </c>
      <c r="O37" s="352">
        <f>IF(AF37="","",AF37)</f>
        <v>0</v>
      </c>
      <c r="R37" s="355" t="s">
        <v>0</v>
      </c>
      <c r="S37" s="68" t="str">
        <f>IF(T37=0,"",VLOOKUP(T37,Starter!$A$1:$D$196,2,FALSE))</f>
        <v/>
      </c>
      <c r="T37" s="175"/>
      <c r="U37" s="183"/>
      <c r="V37" s="95">
        <f>IF(SUM(U37:U39)+U55=0,0,IF(ABS(SUM(U37:U39))=U55,0.5,IF(ABS(SUM(U37:U39))&gt;U55,1,0)))</f>
        <v>0</v>
      </c>
      <c r="W37" s="183"/>
      <c r="X37" s="95">
        <f>IF(SUM(W37:W39)+W55=0,0,IF(ABS(SUM(W37:W39))=W55,0.5,IF(ABS(SUM(W37:W39))&gt;W55,1,0)))</f>
        <v>0</v>
      </c>
      <c r="Y37" s="183"/>
      <c r="Z37" s="95">
        <f>IF(SUM(Y37:Y39)+Y55=0,0,IF(ABS(SUM(Y37:Y39))=Y55,0.5,IF(ABS(SUM(Y37:Y39))&gt;Y55,1,0)))</f>
        <v>0</v>
      </c>
      <c r="AA37" s="189"/>
      <c r="AB37" s="95">
        <f>IF(SUM(AA37:AA39)+AA55=0,0,IF(ABS(SUM(AA37:AA39))=AA55,0.5,IF(ABS(SUM(AA37:AA39))&gt;AA55,1,0)))</f>
        <v>0</v>
      </c>
      <c r="AC37" s="183"/>
      <c r="AD37" s="95">
        <f>IF(SUM(AC37:AC39)+AC55=0,0,IF(ABS(SUM(AC37:AC39))=AC55,0.5,IF(ABS(SUM(AC37:AC39))&gt;AC55,1,0)))</f>
        <v>0</v>
      </c>
      <c r="AE37" s="195">
        <f t="shared" ref="AE37:AE48" si="31">ABS(SUM(U37:U37))+ABS(SUM(W37:W37))+ABS(SUM(Y37:Y37))+ABS(SUM(AA37:AA37))+ABS(SUM(AC37:AC37))</f>
        <v>0</v>
      </c>
      <c r="AF37" s="180">
        <f>SUM(V37+X37+Z37+AB37+AD37)</f>
        <v>0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0</v>
      </c>
      <c r="BE37" s="213">
        <f t="shared" ref="BE37:BE48" si="33">AE37</f>
        <v>0</v>
      </c>
      <c r="BF37" s="215">
        <f t="shared" ref="BF37:BF48" si="34">COUNT(BH37:BL37)</f>
        <v>0</v>
      </c>
      <c r="BG37" s="215">
        <f t="shared" ref="BG37:BG48" si="35">COUNTIF(BH37:BL37,"&gt;0")</f>
        <v>0</v>
      </c>
      <c r="BH37" s="215" t="str">
        <f t="shared" ref="BH37:BH48" si="36">IF(U37=0,"",U37)</f>
        <v/>
      </c>
      <c r="BI37" s="215" t="str">
        <f t="shared" ref="BI37:BI48" si="37">IF(W37=0,"",W37)</f>
        <v/>
      </c>
      <c r="BJ37" s="215" t="str">
        <f t="shared" ref="BJ37:BJ48" si="38">IF(Y37=0,"",Y37)</f>
        <v/>
      </c>
      <c r="BK37" s="215" t="str">
        <f t="shared" ref="BK37:BK48" si="39">IF(AA37=0,"",AA37)</f>
        <v/>
      </c>
      <c r="BL37" s="215" t="str">
        <f t="shared" ref="BL37:BL48" si="40">IF(AC37=0,"",AC37)</f>
        <v/>
      </c>
      <c r="BM37" s="216"/>
      <c r="BN37" s="214"/>
      <c r="BO37" s="215">
        <f t="shared" ref="BO37:BO48" si="41">MAX(BH37:BL37)</f>
        <v>0</v>
      </c>
      <c r="BP37" s="215">
        <f t="shared" ref="BP37:BP48" si="42">IF(BO37&lt;MAX(BO:BO),0,BO37+ROW()/1000000000)</f>
        <v>3.7E-8</v>
      </c>
      <c r="BQ37" s="215" t="str">
        <f>+S33</f>
        <v>Herzogenaurach 1</v>
      </c>
      <c r="BR37" s="214">
        <f t="shared" ref="BR37:BR48" si="43">RANK(BP37,BP:BP)</f>
        <v>60</v>
      </c>
      <c r="BS37" s="215">
        <f t="shared" ref="BS37:BS48" si="44">SUMIF(BH37:BL37,"&gt;0")</f>
        <v>0</v>
      </c>
      <c r="BT37" s="215">
        <f>IF(COUNTIF(BH37:BL37,"&gt;0")&lt;Spielorte!$A$23,0,BE37/Spielorte!$A$23)</f>
        <v>0</v>
      </c>
      <c r="BU37" s="215">
        <f t="shared" ref="BU37:BU48" si="45">IF(BT37&lt;MAX(BT:BT),0,BT37+ROW()/1000000000)</f>
        <v>3.7E-8</v>
      </c>
      <c r="BV37" s="214">
        <f t="shared" ref="BV37:BV48" si="46">IF(BU37=0,0,RANK(BU37,BU:BU))</f>
        <v>60</v>
      </c>
    </row>
    <row r="38" spans="1:74" ht="17.100000000000001" customHeight="1" x14ac:dyDescent="0.2">
      <c r="A38" s="374"/>
      <c r="B38" s="19" t="str">
        <f t="shared" ref="B38:D50" si="47">IF(S38=0,"",S38)</f>
        <v/>
      </c>
      <c r="C38" s="20" t="str">
        <f t="shared" si="47"/>
        <v/>
      </c>
      <c r="D38" s="15" t="str">
        <f t="shared" si="47"/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 t="str">
        <f t="shared" si="28"/>
        <v/>
      </c>
      <c r="K38" s="353"/>
      <c r="L38" s="15" t="str">
        <f t="shared" si="29"/>
        <v/>
      </c>
      <c r="M38" s="353"/>
      <c r="N38" s="15" t="str">
        <f t="shared" si="30"/>
        <v/>
      </c>
      <c r="O38" s="353"/>
      <c r="R38" s="356"/>
      <c r="S38" s="68" t="str">
        <f>IF(T38=0,"",VLOOKUP(T38,Starter!$A$1:$D$196,2,FALSE))</f>
        <v/>
      </c>
      <c r="T38" s="176"/>
      <c r="U38" s="184"/>
      <c r="V38" s="96"/>
      <c r="W38" s="184"/>
      <c r="X38" s="96"/>
      <c r="Y38" s="184"/>
      <c r="Z38" s="96"/>
      <c r="AA38" s="184"/>
      <c r="AB38" s="96"/>
      <c r="AC38" s="184"/>
      <c r="AD38" s="96"/>
      <c r="AE38" s="196">
        <f t="shared" si="31"/>
        <v>0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0</v>
      </c>
      <c r="BE38" s="213">
        <f t="shared" si="33"/>
        <v>0</v>
      </c>
      <c r="BF38" s="215">
        <f t="shared" si="34"/>
        <v>0</v>
      </c>
      <c r="BG38" s="215">
        <f t="shared" si="35"/>
        <v>0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 t="str">
        <f t="shared" si="39"/>
        <v/>
      </c>
      <c r="BL38" s="215" t="str">
        <f t="shared" si="40"/>
        <v/>
      </c>
      <c r="BM38" s="216"/>
      <c r="BN38" s="214"/>
      <c r="BO38" s="215">
        <f t="shared" si="41"/>
        <v>0</v>
      </c>
      <c r="BP38" s="215">
        <f t="shared" si="42"/>
        <v>3.8000000000000003E-8</v>
      </c>
      <c r="BQ38" s="215" t="str">
        <f t="shared" ref="BQ38:BQ48" si="48">+BQ37</f>
        <v>Herzogenaurach 1</v>
      </c>
      <c r="BR38" s="214">
        <f t="shared" si="43"/>
        <v>59</v>
      </c>
      <c r="BS38" s="215">
        <f t="shared" si="44"/>
        <v>0</v>
      </c>
      <c r="BT38" s="215">
        <f>IF(COUNTIF(BH38:BL38,"&gt;0")&lt;Spielorte!$A$23,0,BE38/Spielorte!$A$23)</f>
        <v>0</v>
      </c>
      <c r="BU38" s="215">
        <f t="shared" si="45"/>
        <v>3.8000000000000003E-8</v>
      </c>
      <c r="BV38" s="214">
        <f t="shared" si="46"/>
        <v>59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7"/>
        <v/>
      </c>
      <c r="D39" s="9" t="str">
        <f t="shared" si="47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3.8999999999999998E-8</v>
      </c>
      <c r="BQ39" s="215" t="str">
        <f t="shared" si="48"/>
        <v>Herzogenaurach 1</v>
      </c>
      <c r="BR39" s="214">
        <f t="shared" si="43"/>
        <v>58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3.8999999999999998E-8</v>
      </c>
      <c r="BV39" s="214">
        <f t="shared" si="46"/>
        <v>58</v>
      </c>
    </row>
    <row r="40" spans="1:74" ht="17.100000000000001" customHeight="1" x14ac:dyDescent="0.2">
      <c r="A40" s="373" t="s">
        <v>2</v>
      </c>
      <c r="B40" s="17" t="str">
        <f t="shared" si="47"/>
        <v/>
      </c>
      <c r="C40" s="18" t="str">
        <f t="shared" si="47"/>
        <v/>
      </c>
      <c r="D40" s="14" t="str">
        <f t="shared" si="47"/>
        <v/>
      </c>
      <c r="E40" s="352">
        <f>IF(V40="","",V40)</f>
        <v>0</v>
      </c>
      <c r="F40" s="14" t="str">
        <f t="shared" si="26"/>
        <v/>
      </c>
      <c r="G40" s="352">
        <f>IF(X40="","",X40)</f>
        <v>0</v>
      </c>
      <c r="H40" s="14" t="str">
        <f t="shared" si="27"/>
        <v/>
      </c>
      <c r="I40" s="352">
        <f>IF(Z40="","",Z40)</f>
        <v>0</v>
      </c>
      <c r="J40" s="14" t="str">
        <f t="shared" si="28"/>
        <v/>
      </c>
      <c r="K40" s="352">
        <f>IF(AB40="","",AB40)</f>
        <v>0</v>
      </c>
      <c r="L40" s="14" t="str">
        <f t="shared" si="29"/>
        <v/>
      </c>
      <c r="M40" s="352">
        <f>IF(AD40="","",AD40)</f>
        <v>0</v>
      </c>
      <c r="N40" s="14" t="str">
        <f t="shared" si="30"/>
        <v/>
      </c>
      <c r="O40" s="352">
        <f>IF(AF40="","",AF40)</f>
        <v>0</v>
      </c>
      <c r="R40" s="355" t="s">
        <v>2</v>
      </c>
      <c r="S40" s="68" t="str">
        <f>IF(T40=0,"",VLOOKUP(T40,Starter!$A$1:$D$196,2,FALSE))</f>
        <v/>
      </c>
      <c r="T40" s="178"/>
      <c r="U40" s="186"/>
      <c r="V40" s="95">
        <f>IF(SUM(U40:U42)+U56=0,0,IF(ABS(SUM(U40:U42))=U56,0.5,IF(ABS(SUM(U40:U42))&gt;U56,1,0)))</f>
        <v>0</v>
      </c>
      <c r="W40" s="186"/>
      <c r="X40" s="95">
        <f>IF(SUM(W40:W42)+W56=0,0,IF(ABS(SUM(W40:W42))=W56,0.5,IF(ABS(SUM(W40:W42))&gt;W56,1,0)))</f>
        <v>0</v>
      </c>
      <c r="Y40" s="186"/>
      <c r="Z40" s="95">
        <f>IF(SUM(Y40:Y42)+Y56=0,0,IF(ABS(SUM(Y40:Y42))=Y56,0.5,IF(ABS(SUM(Y40:Y42))&gt;Y56,1,0)))</f>
        <v>0</v>
      </c>
      <c r="AA40" s="186"/>
      <c r="AB40" s="95">
        <f>IF(SUM(AA40:AA42)+AA56=0,0,IF(ABS(SUM(AA40:AA42))=AA56,0.5,IF(ABS(SUM(AA40:AA42))&gt;AA56,1,0)))</f>
        <v>0</v>
      </c>
      <c r="AC40" s="186"/>
      <c r="AD40" s="95">
        <f>IF(SUM(AC40:AC42)+AC56=0,0,IF(ABS(SUM(AC40:AC42))=AC56,0.5,IF(ABS(SUM(AC40:AC42))&gt;AC56,1,0)))</f>
        <v>0</v>
      </c>
      <c r="AE40" s="195">
        <f t="shared" si="31"/>
        <v>0</v>
      </c>
      <c r="AF40" s="180">
        <f>SUM(V40+X40+Z40+AB40+AD40)</f>
        <v>0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0</v>
      </c>
      <c r="BE40" s="213">
        <f t="shared" si="33"/>
        <v>0</v>
      </c>
      <c r="BF40" s="215">
        <f t="shared" si="34"/>
        <v>0</v>
      </c>
      <c r="BG40" s="215">
        <f t="shared" si="35"/>
        <v>0</v>
      </c>
      <c r="BH40" s="215" t="str">
        <f t="shared" si="36"/>
        <v/>
      </c>
      <c r="BI40" s="215" t="str">
        <f t="shared" si="37"/>
        <v/>
      </c>
      <c r="BJ40" s="215" t="str">
        <f t="shared" si="38"/>
        <v/>
      </c>
      <c r="BK40" s="215" t="str">
        <f t="shared" si="39"/>
        <v/>
      </c>
      <c r="BL40" s="215" t="str">
        <f t="shared" si="40"/>
        <v/>
      </c>
      <c r="BM40" s="216"/>
      <c r="BN40" s="214"/>
      <c r="BO40" s="215">
        <f t="shared" si="41"/>
        <v>0</v>
      </c>
      <c r="BP40" s="215">
        <f t="shared" si="42"/>
        <v>4.0000000000000001E-8</v>
      </c>
      <c r="BQ40" s="215" t="str">
        <f t="shared" si="48"/>
        <v>Herzogenaurach 1</v>
      </c>
      <c r="BR40" s="214">
        <f t="shared" si="43"/>
        <v>57</v>
      </c>
      <c r="BS40" s="215">
        <f t="shared" si="44"/>
        <v>0</v>
      </c>
      <c r="BT40" s="215">
        <f>IF(COUNTIF(BH40:BL40,"&gt;0")&lt;Spielorte!$A$23,0,BE40/Spielorte!$A$23)</f>
        <v>0</v>
      </c>
      <c r="BU40" s="215">
        <f t="shared" si="45"/>
        <v>4.0000000000000001E-8</v>
      </c>
      <c r="BV40" s="214">
        <f t="shared" si="46"/>
        <v>57</v>
      </c>
    </row>
    <row r="41" spans="1:74" ht="17.100000000000001" customHeight="1" x14ac:dyDescent="0.2">
      <c r="A41" s="374"/>
      <c r="B41" s="19" t="str">
        <f t="shared" si="47"/>
        <v/>
      </c>
      <c r="C41" s="20" t="str">
        <f t="shared" si="47"/>
        <v/>
      </c>
      <c r="D41" s="15" t="str">
        <f t="shared" si="47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 t="str">
        <f t="shared" si="28"/>
        <v/>
      </c>
      <c r="K41" s="353"/>
      <c r="L41" s="15" t="str">
        <f t="shared" si="29"/>
        <v/>
      </c>
      <c r="M41" s="353"/>
      <c r="N41" s="15" t="str">
        <f t="shared" si="30"/>
        <v/>
      </c>
      <c r="O41" s="353"/>
      <c r="R41" s="356"/>
      <c r="S41" s="68" t="str">
        <f>IF(T41=0,"",VLOOKUP(T41,Starter!$A$1:$D$196,2,FALSE))</f>
        <v/>
      </c>
      <c r="T41" s="176"/>
      <c r="U41" s="184"/>
      <c r="V41" s="96"/>
      <c r="W41" s="184"/>
      <c r="X41" s="96"/>
      <c r="Y41" s="184"/>
      <c r="Z41" s="96"/>
      <c r="AA41" s="184"/>
      <c r="AB41" s="96"/>
      <c r="AC41" s="184"/>
      <c r="AD41" s="96"/>
      <c r="AE41" s="196">
        <f t="shared" si="31"/>
        <v>0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0</v>
      </c>
      <c r="BE41" s="213">
        <f t="shared" si="33"/>
        <v>0</v>
      </c>
      <c r="BF41" s="215">
        <f t="shared" si="34"/>
        <v>0</v>
      </c>
      <c r="BG41" s="215">
        <f t="shared" si="35"/>
        <v>0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 t="str">
        <f t="shared" si="39"/>
        <v/>
      </c>
      <c r="BL41" s="215" t="str">
        <f t="shared" si="40"/>
        <v/>
      </c>
      <c r="BM41" s="216"/>
      <c r="BN41" s="214"/>
      <c r="BO41" s="215">
        <f t="shared" si="41"/>
        <v>0</v>
      </c>
      <c r="BP41" s="215">
        <f t="shared" si="42"/>
        <v>4.1000000000000003E-8</v>
      </c>
      <c r="BQ41" s="215" t="str">
        <f t="shared" si="48"/>
        <v>Herzogenaurach 1</v>
      </c>
      <c r="BR41" s="214">
        <f t="shared" si="43"/>
        <v>56</v>
      </c>
      <c r="BS41" s="215">
        <f t="shared" si="44"/>
        <v>0</v>
      </c>
      <c r="BT41" s="215">
        <f>IF(COUNTIF(BH41:BL41,"&gt;0")&lt;Spielorte!$A$23,0,BE41/Spielorte!$A$23)</f>
        <v>0</v>
      </c>
      <c r="BU41" s="215">
        <f t="shared" si="45"/>
        <v>4.1000000000000003E-8</v>
      </c>
      <c r="BV41" s="214">
        <f t="shared" si="46"/>
        <v>56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7"/>
        <v/>
      </c>
      <c r="D42" s="9" t="str">
        <f t="shared" si="47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4.1999999999999999E-8</v>
      </c>
      <c r="BQ42" s="215" t="str">
        <f t="shared" si="48"/>
        <v>Herzogenaurach 1</v>
      </c>
      <c r="BR42" s="214">
        <f t="shared" si="43"/>
        <v>55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4.1999999999999999E-8</v>
      </c>
      <c r="BV42" s="214">
        <f t="shared" si="46"/>
        <v>55</v>
      </c>
    </row>
    <row r="43" spans="1:74" ht="17.100000000000001" customHeight="1" x14ac:dyDescent="0.2">
      <c r="A43" s="373" t="s">
        <v>3</v>
      </c>
      <c r="B43" s="17" t="str">
        <f t="shared" si="47"/>
        <v/>
      </c>
      <c r="C43" s="18" t="str">
        <f t="shared" si="47"/>
        <v/>
      </c>
      <c r="D43" s="14" t="str">
        <f t="shared" si="47"/>
        <v/>
      </c>
      <c r="E43" s="352">
        <f>IF(V43="","",V43)</f>
        <v>0</v>
      </c>
      <c r="F43" s="14" t="str">
        <f t="shared" si="26"/>
        <v/>
      </c>
      <c r="G43" s="352">
        <f>IF(X43="","",X43)</f>
        <v>0</v>
      </c>
      <c r="H43" s="14" t="str">
        <f t="shared" si="27"/>
        <v/>
      </c>
      <c r="I43" s="352">
        <f>IF(Z43="","",Z43)</f>
        <v>0</v>
      </c>
      <c r="J43" s="14" t="str">
        <f t="shared" si="28"/>
        <v/>
      </c>
      <c r="K43" s="352">
        <f>IF(AB43="","",AB43)</f>
        <v>0</v>
      </c>
      <c r="L43" s="14" t="str">
        <f t="shared" si="29"/>
        <v/>
      </c>
      <c r="M43" s="352">
        <f>IF(AD43="","",AD43)</f>
        <v>0</v>
      </c>
      <c r="N43" s="14" t="str">
        <f t="shared" si="30"/>
        <v/>
      </c>
      <c r="O43" s="352">
        <f>IF(AF43="","",AF43)</f>
        <v>0</v>
      </c>
      <c r="R43" s="355" t="s">
        <v>3</v>
      </c>
      <c r="S43" s="68" t="str">
        <f>IF(T43=0,"",VLOOKUP(T43,Starter!$A$1:$D$196,2,FALSE))</f>
        <v/>
      </c>
      <c r="T43" s="178"/>
      <c r="U43" s="186"/>
      <c r="V43" s="95">
        <f>IF(SUM(U43:U45)+U57=0,0,IF(ABS(SUM(U43:U45))=U57,0.5,IF(ABS(SUM(U43:U45))&gt;U57,1,0)))</f>
        <v>0</v>
      </c>
      <c r="W43" s="186"/>
      <c r="X43" s="95">
        <f>IF(SUM(W43:W45)+W57=0,0,IF(ABS(SUM(W43:W45))=W57,0.5,IF(ABS(SUM(W43:W45))&gt;W57,1,0)))</f>
        <v>0</v>
      </c>
      <c r="Y43" s="186"/>
      <c r="Z43" s="95">
        <f>IF(SUM(Y43:Y45)+Y57=0,0,IF(ABS(SUM(Y43:Y45))=Y57,0.5,IF(ABS(SUM(Y43:Y45))&gt;Y57,1,0)))</f>
        <v>0</v>
      </c>
      <c r="AA43" s="186"/>
      <c r="AB43" s="95">
        <f>IF(SUM(AA43:AA45)+AA57=0,0,IF(ABS(SUM(AA43:AA45))=AA57,0.5,IF(ABS(SUM(AA43:AA45))&gt;AA57,1,0)))</f>
        <v>0</v>
      </c>
      <c r="AC43" s="186"/>
      <c r="AD43" s="95">
        <f>IF(SUM(AC43:AC45)+AC57=0,0,IF(ABS(SUM(AC43:AC45))=AC57,0.5,IF(ABS(SUM(AC43:AC45))&gt;AC57,1,0)))</f>
        <v>0</v>
      </c>
      <c r="AE43" s="195">
        <f t="shared" si="31"/>
        <v>0</v>
      </c>
      <c r="AF43" s="180">
        <f>SUM(V43+X43+Z43+AB43+AD43)</f>
        <v>0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0</v>
      </c>
      <c r="BE43" s="213">
        <f t="shared" si="33"/>
        <v>0</v>
      </c>
      <c r="BF43" s="215">
        <f t="shared" si="34"/>
        <v>0</v>
      </c>
      <c r="BG43" s="215">
        <f t="shared" si="35"/>
        <v>0</v>
      </c>
      <c r="BH43" s="215" t="str">
        <f t="shared" si="36"/>
        <v/>
      </c>
      <c r="BI43" s="215" t="str">
        <f t="shared" si="37"/>
        <v/>
      </c>
      <c r="BJ43" s="215" t="str">
        <f t="shared" si="38"/>
        <v/>
      </c>
      <c r="BK43" s="215" t="str">
        <f t="shared" si="39"/>
        <v/>
      </c>
      <c r="BL43" s="215" t="str">
        <f t="shared" si="40"/>
        <v/>
      </c>
      <c r="BM43" s="216"/>
      <c r="BN43" s="214"/>
      <c r="BO43" s="215">
        <f t="shared" si="41"/>
        <v>0</v>
      </c>
      <c r="BP43" s="215">
        <f t="shared" si="42"/>
        <v>4.3000000000000001E-8</v>
      </c>
      <c r="BQ43" s="215" t="str">
        <f t="shared" si="48"/>
        <v>Herzogenaurach 1</v>
      </c>
      <c r="BR43" s="214">
        <f t="shared" si="43"/>
        <v>54</v>
      </c>
      <c r="BS43" s="215">
        <f t="shared" si="44"/>
        <v>0</v>
      </c>
      <c r="BT43" s="215">
        <f>IF(COUNTIF(BH43:BL43,"&gt;0")&lt;Spielorte!$A$23,0,BE43/Spielorte!$A$23)</f>
        <v>0</v>
      </c>
      <c r="BU43" s="215">
        <f t="shared" si="45"/>
        <v>4.3000000000000001E-8</v>
      </c>
      <c r="BV43" s="214">
        <f t="shared" si="46"/>
        <v>54</v>
      </c>
    </row>
    <row r="44" spans="1:74" ht="17.100000000000001" customHeight="1" x14ac:dyDescent="0.2">
      <c r="A44" s="374"/>
      <c r="B44" s="19" t="str">
        <f t="shared" si="47"/>
        <v/>
      </c>
      <c r="C44" s="20" t="str">
        <f t="shared" si="47"/>
        <v/>
      </c>
      <c r="D44" s="15" t="str">
        <f t="shared" si="47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 t="str">
        <f t="shared" si="28"/>
        <v/>
      </c>
      <c r="K44" s="353"/>
      <c r="L44" s="15" t="str">
        <f t="shared" si="29"/>
        <v/>
      </c>
      <c r="M44" s="353"/>
      <c r="N44" s="15" t="str">
        <f t="shared" si="30"/>
        <v/>
      </c>
      <c r="O44" s="353"/>
      <c r="R44" s="356"/>
      <c r="S44" s="68" t="str">
        <f>IF(T44=0,"",VLOOKUP(T44,Starter!$A$1:$D$196,2,FALSE))</f>
        <v/>
      </c>
      <c r="T44" s="176"/>
      <c r="U44" s="184"/>
      <c r="V44" s="96"/>
      <c r="W44" s="184"/>
      <c r="X44" s="96"/>
      <c r="Y44" s="184"/>
      <c r="Z44" s="96"/>
      <c r="AA44" s="184"/>
      <c r="AB44" s="96"/>
      <c r="AC44" s="184"/>
      <c r="AD44" s="96"/>
      <c r="AE44" s="196">
        <f t="shared" si="31"/>
        <v>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0</v>
      </c>
      <c r="BE44" s="213">
        <f t="shared" si="33"/>
        <v>0</v>
      </c>
      <c r="BF44" s="215">
        <f t="shared" si="34"/>
        <v>0</v>
      </c>
      <c r="BG44" s="215">
        <f t="shared" si="35"/>
        <v>0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 t="str">
        <f t="shared" si="39"/>
        <v/>
      </c>
      <c r="BL44" s="215" t="str">
        <f t="shared" si="40"/>
        <v/>
      </c>
      <c r="BM44" s="216"/>
      <c r="BN44" s="214"/>
      <c r="BO44" s="215">
        <f t="shared" si="41"/>
        <v>0</v>
      </c>
      <c r="BP44" s="215">
        <f t="shared" si="42"/>
        <v>4.3999999999999997E-8</v>
      </c>
      <c r="BQ44" s="215" t="str">
        <f t="shared" si="48"/>
        <v>Herzogenaurach 1</v>
      </c>
      <c r="BR44" s="214">
        <f t="shared" si="43"/>
        <v>53</v>
      </c>
      <c r="BS44" s="215">
        <f t="shared" si="44"/>
        <v>0</v>
      </c>
      <c r="BT44" s="215">
        <f>IF(COUNTIF(BH44:BL44,"&gt;0")&lt;Spielorte!$A$23,0,BE44/Spielorte!$A$23)</f>
        <v>0</v>
      </c>
      <c r="BU44" s="215">
        <f t="shared" si="45"/>
        <v>4.3999999999999997E-8</v>
      </c>
      <c r="BV44" s="214">
        <f t="shared" si="46"/>
        <v>53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7"/>
        <v/>
      </c>
      <c r="D45" s="9" t="str">
        <f t="shared" si="47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4.4999999999999999E-8</v>
      </c>
      <c r="BQ45" s="215" t="str">
        <f t="shared" si="48"/>
        <v>Herzogenaurach 1</v>
      </c>
      <c r="BR45" s="214">
        <f t="shared" si="43"/>
        <v>52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4.4999999999999999E-8</v>
      </c>
      <c r="BV45" s="214">
        <f t="shared" si="46"/>
        <v>52</v>
      </c>
    </row>
    <row r="46" spans="1:74" ht="17.100000000000001" customHeight="1" x14ac:dyDescent="0.2">
      <c r="A46" s="373" t="s">
        <v>11</v>
      </c>
      <c r="B46" s="17" t="str">
        <f>IF(S46=0,"",S46)</f>
        <v/>
      </c>
      <c r="C46" s="18" t="str">
        <f t="shared" si="47"/>
        <v/>
      </c>
      <c r="D46" s="14" t="str">
        <f t="shared" si="47"/>
        <v/>
      </c>
      <c r="E46" s="352">
        <f>IF(V46="","",V46)</f>
        <v>0</v>
      </c>
      <c r="F46" s="14" t="str">
        <f t="shared" si="26"/>
        <v/>
      </c>
      <c r="G46" s="352">
        <f>IF(X46="","",X46)</f>
        <v>0</v>
      </c>
      <c r="H46" s="14" t="str">
        <f t="shared" si="27"/>
        <v/>
      </c>
      <c r="I46" s="352">
        <f>IF(Z46="","",Z46)</f>
        <v>0</v>
      </c>
      <c r="J46" s="14" t="str">
        <f t="shared" si="28"/>
        <v/>
      </c>
      <c r="K46" s="352">
        <f>IF(AB46="","",AB46)</f>
        <v>0</v>
      </c>
      <c r="L46" s="14" t="str">
        <f t="shared" si="29"/>
        <v/>
      </c>
      <c r="M46" s="352">
        <f>IF(AD46="","",AD46)</f>
        <v>0</v>
      </c>
      <c r="N46" s="14" t="str">
        <f t="shared" si="30"/>
        <v/>
      </c>
      <c r="O46" s="352">
        <f>IF(AF46="","",AF46)</f>
        <v>0</v>
      </c>
      <c r="R46" s="355" t="s">
        <v>11</v>
      </c>
      <c r="S46" s="68" t="str">
        <f>IF(T46=0,"",VLOOKUP(T46,Starter!$A$1:$D$196,2,FALSE))</f>
        <v/>
      </c>
      <c r="T46" s="178"/>
      <c r="U46" s="186"/>
      <c r="V46" s="95">
        <f>IF(SUM(U46:U48)+U58=0,0,IF(ABS(SUM(U46:U48))=U58,0.5,IF(ABS(SUM(U46:U48))&gt;U58,1,0)))</f>
        <v>0</v>
      </c>
      <c r="W46" s="186"/>
      <c r="X46" s="95">
        <f>IF(SUM(W46:W48)+W58=0,0,IF(ABS(SUM(W46:W48))=W58,0.5,IF(ABS(SUM(W46:W48))&gt;W58,1,0)))</f>
        <v>0</v>
      </c>
      <c r="Y46" s="186"/>
      <c r="Z46" s="95">
        <f>IF(SUM(Y46:Y48)+Y58=0,0,IF(ABS(SUM(Y46:Y48))=Y58,0.5,IF(ABS(SUM(Y46:Y48))&gt;Y58,1,0)))</f>
        <v>0</v>
      </c>
      <c r="AA46" s="186"/>
      <c r="AB46" s="95">
        <f>IF(SUM(AA46:AA48)+AA58=0,0,IF(ABS(SUM(AA46:AA48))=AA58,0.5,IF(ABS(SUM(AA46:AA48))&gt;AA58,1,0)))</f>
        <v>0</v>
      </c>
      <c r="AC46" s="186"/>
      <c r="AD46" s="95">
        <f>IF(SUM(AC46:AC48)+AC58=0,0,IF(ABS(SUM(AC46:AC48))=AC58,0.5,IF(ABS(SUM(AC46:AC48))&gt;AC58,1,0)))</f>
        <v>0</v>
      </c>
      <c r="AE46" s="195">
        <f t="shared" si="31"/>
        <v>0</v>
      </c>
      <c r="AF46" s="180">
        <f>SUM(V46+X46+Z46+AB46+AD46)</f>
        <v>0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0</v>
      </c>
      <c r="BE46" s="213">
        <f t="shared" si="33"/>
        <v>0</v>
      </c>
      <c r="BF46" s="215">
        <f t="shared" si="34"/>
        <v>0</v>
      </c>
      <c r="BG46" s="215">
        <f t="shared" si="35"/>
        <v>0</v>
      </c>
      <c r="BH46" s="215" t="str">
        <f t="shared" si="36"/>
        <v/>
      </c>
      <c r="BI46" s="215" t="str">
        <f t="shared" si="37"/>
        <v/>
      </c>
      <c r="BJ46" s="215" t="str">
        <f t="shared" si="38"/>
        <v/>
      </c>
      <c r="BK46" s="215" t="str">
        <f t="shared" si="39"/>
        <v/>
      </c>
      <c r="BL46" s="215" t="str">
        <f t="shared" si="40"/>
        <v/>
      </c>
      <c r="BM46" s="216"/>
      <c r="BN46" s="214"/>
      <c r="BO46" s="215">
        <f t="shared" si="41"/>
        <v>0</v>
      </c>
      <c r="BP46" s="215">
        <f t="shared" si="42"/>
        <v>4.6000000000000002E-8</v>
      </c>
      <c r="BQ46" s="215" t="str">
        <f t="shared" si="48"/>
        <v>Herzogenaurach 1</v>
      </c>
      <c r="BR46" s="214">
        <f t="shared" si="43"/>
        <v>51</v>
      </c>
      <c r="BS46" s="215">
        <f t="shared" si="44"/>
        <v>0</v>
      </c>
      <c r="BT46" s="215">
        <f>IF(COUNTIF(BH46:BL46,"&gt;0")&lt;Spielorte!$A$23,0,BE46/Spielorte!$A$23)</f>
        <v>0</v>
      </c>
      <c r="BU46" s="215">
        <f t="shared" si="45"/>
        <v>4.6000000000000002E-8</v>
      </c>
      <c r="BV46" s="214">
        <f t="shared" si="46"/>
        <v>51</v>
      </c>
    </row>
    <row r="47" spans="1:74" ht="17.100000000000001" customHeight="1" x14ac:dyDescent="0.2">
      <c r="A47" s="374"/>
      <c r="B47" s="19" t="str">
        <f>IF(S47=0,"",S47)</f>
        <v/>
      </c>
      <c r="C47" s="20" t="str">
        <f t="shared" si="47"/>
        <v/>
      </c>
      <c r="D47" s="15" t="str">
        <f t="shared" si="47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 t="str">
        <f t="shared" si="28"/>
        <v/>
      </c>
      <c r="K47" s="353"/>
      <c r="L47" s="15" t="str">
        <f t="shared" si="29"/>
        <v/>
      </c>
      <c r="M47" s="353"/>
      <c r="N47" s="15" t="str">
        <f t="shared" si="30"/>
        <v/>
      </c>
      <c r="O47" s="353"/>
      <c r="R47" s="356"/>
      <c r="S47" s="68" t="str">
        <f>IF(T47=0,"",VLOOKUP(T47,Starter!$A$1:$D$196,2,FALSE))</f>
        <v/>
      </c>
      <c r="T47" s="176"/>
      <c r="U47" s="184"/>
      <c r="V47" s="96"/>
      <c r="W47" s="184"/>
      <c r="X47" s="96"/>
      <c r="Y47" s="184"/>
      <c r="Z47" s="96"/>
      <c r="AA47" s="184"/>
      <c r="AB47" s="96"/>
      <c r="AC47" s="184"/>
      <c r="AD47" s="96"/>
      <c r="AE47" s="196">
        <f t="shared" si="31"/>
        <v>0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0</v>
      </c>
      <c r="BE47" s="213">
        <f t="shared" si="33"/>
        <v>0</v>
      </c>
      <c r="BF47" s="215">
        <f t="shared" si="34"/>
        <v>0</v>
      </c>
      <c r="BG47" s="215">
        <f t="shared" si="35"/>
        <v>0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 t="str">
        <f t="shared" si="39"/>
        <v/>
      </c>
      <c r="BL47" s="215" t="str">
        <f t="shared" si="40"/>
        <v/>
      </c>
      <c r="BM47" s="216"/>
      <c r="BN47" s="214"/>
      <c r="BO47" s="215">
        <f t="shared" si="41"/>
        <v>0</v>
      </c>
      <c r="BP47" s="215">
        <f t="shared" si="42"/>
        <v>4.6999999999999997E-8</v>
      </c>
      <c r="BQ47" s="215" t="str">
        <f t="shared" si="48"/>
        <v>Herzogenaurach 1</v>
      </c>
      <c r="BR47" s="214">
        <f t="shared" si="43"/>
        <v>50</v>
      </c>
      <c r="BS47" s="215">
        <f t="shared" si="44"/>
        <v>0</v>
      </c>
      <c r="BT47" s="215">
        <f>IF(COUNTIF(BH47:BL47,"&gt;0")&lt;Spielorte!$A$23,0,BE47/Spielorte!$A$23)</f>
        <v>0</v>
      </c>
      <c r="BU47" s="215">
        <f t="shared" si="45"/>
        <v>4.6999999999999997E-8</v>
      </c>
      <c r="BV47" s="214">
        <f t="shared" si="46"/>
        <v>50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7"/>
        <v/>
      </c>
      <c r="D48" s="9" t="str">
        <f t="shared" si="47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4.8E-8</v>
      </c>
      <c r="BQ48" s="215" t="str">
        <f t="shared" si="48"/>
        <v>Herzogenaurach 1</v>
      </c>
      <c r="BR48" s="214">
        <f t="shared" si="43"/>
        <v>49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4.8E-8</v>
      </c>
      <c r="BV48" s="214">
        <f t="shared" si="46"/>
        <v>49</v>
      </c>
    </row>
    <row r="49" spans="1:74" ht="27.75" customHeight="1" thickBot="1" x14ac:dyDescent="0.25">
      <c r="B49" s="11" t="str">
        <f>IF(S49=0,"",S49)</f>
        <v>Gesamt</v>
      </c>
      <c r="C49" s="26" t="str">
        <f t="shared" si="47"/>
        <v/>
      </c>
      <c r="D49" s="16" t="str">
        <f t="shared" si="47"/>
        <v/>
      </c>
      <c r="E49" s="12">
        <f>IF(V49="","",V49)</f>
        <v>0</v>
      </c>
      <c r="F49" s="16" t="str">
        <f t="shared" si="26"/>
        <v/>
      </c>
      <c r="G49" s="12">
        <f>IF(X49="","",X49)</f>
        <v>0</v>
      </c>
      <c r="H49" s="16" t="str">
        <f t="shared" si="27"/>
        <v/>
      </c>
      <c r="I49" s="12">
        <f>IF(Z49="","",Z49)</f>
        <v>0</v>
      </c>
      <c r="J49" s="16" t="str">
        <f t="shared" si="28"/>
        <v/>
      </c>
      <c r="K49" s="12">
        <f>IF(AB49="","",AB49)</f>
        <v>0</v>
      </c>
      <c r="L49" s="16" t="str">
        <f t="shared" si="29"/>
        <v/>
      </c>
      <c r="M49" s="12">
        <f>IF(AD49="","",AD49)</f>
        <v>0</v>
      </c>
      <c r="N49" s="16" t="str">
        <f t="shared" si="30"/>
        <v/>
      </c>
      <c r="O49" s="12">
        <f>IF(AF49="","",AF49)</f>
        <v>0</v>
      </c>
      <c r="S49" s="11" t="s">
        <v>1791</v>
      </c>
      <c r="T49" s="71"/>
      <c r="U49" s="188">
        <f>ABS(SUM(U37:U39))+ABS(SUM(U40:U42))+ABS(SUM(U43:U45))+ABS(SUM(U46:U48))</f>
        <v>0</v>
      </c>
      <c r="V49" s="98">
        <f>IF(U49+U59=0,0,IF(U49=U59,1,IF(U49&gt;U59,2,0)))</f>
        <v>0</v>
      </c>
      <c r="W49" s="188">
        <f>ABS(SUM(W37:W39))+ABS(SUM(W40:W42))+ABS(SUM(W43:W45))+ABS(SUM(W46:W48))</f>
        <v>0</v>
      </c>
      <c r="X49" s="98">
        <f>IF(W49+W59=0,0,IF(W49=W59,1,IF(W49&gt;W59,2,0)))</f>
        <v>0</v>
      </c>
      <c r="Y49" s="188">
        <f>ABS(SUM(Y37:Y39))+ABS(SUM(Y40:Y42))+ABS(SUM(Y43:Y45))+ABS(SUM(Y46:Y48))</f>
        <v>0</v>
      </c>
      <c r="Z49" s="98">
        <f>IF(Y49+Y59=0,0,IF(Y49=Y59,1,IF(Y49&gt;Y59,2,0)))</f>
        <v>0</v>
      </c>
      <c r="AA49" s="188">
        <f>ABS(SUM(AA37:AA39))+ABS(SUM(AA40:AA42))+ABS(SUM(AA43:AA45))+ABS(SUM(AA46:AA48))</f>
        <v>0</v>
      </c>
      <c r="AB49" s="98">
        <f>IF(AA49+AA59=0,0,IF(AA49=AA59,1,IF(AA49&gt;AA59,2,0)))</f>
        <v>0</v>
      </c>
      <c r="AC49" s="188">
        <f>ABS(SUM(AC37:AC39))+ABS(SUM(AC40:AC42))+ABS(SUM(AC43:AC45))+ABS(SUM(AC46:AC48))</f>
        <v>0</v>
      </c>
      <c r="AD49" s="98">
        <f>IF(AC49+AC59=0,0,IF(AC49=AC59,1,IF(AC49&gt;AC59,2,0)))</f>
        <v>0</v>
      </c>
      <c r="AE49" s="198">
        <f>SUM(U49+W49+Y49+AA49+AC49)</f>
        <v>0</v>
      </c>
      <c r="AF49" s="12">
        <f>SUM(V49+X49+Z49+AB49+AD49)</f>
        <v>0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7"/>
        <v/>
      </c>
      <c r="D50" s="1" t="str">
        <f t="shared" si="47"/>
        <v/>
      </c>
      <c r="E50" s="23">
        <f>IF(V50="","",V50)</f>
        <v>0</v>
      </c>
      <c r="F50" s="1" t="str">
        <f t="shared" si="26"/>
        <v/>
      </c>
      <c r="G50" s="23">
        <f>IF(X50="","",X50)</f>
        <v>0</v>
      </c>
      <c r="H50" s="1" t="str">
        <f t="shared" si="27"/>
        <v/>
      </c>
      <c r="I50" s="23">
        <f>IF(Z50="","",Z50)</f>
        <v>0</v>
      </c>
      <c r="J50" s="1" t="str">
        <f t="shared" si="28"/>
        <v/>
      </c>
      <c r="K50" s="23">
        <f>IF(AB50="","",AB50)</f>
        <v>0</v>
      </c>
      <c r="L50" s="1" t="str">
        <f t="shared" si="29"/>
        <v/>
      </c>
      <c r="M50" s="23">
        <f>IF(AD50="","",AD50)</f>
        <v>0</v>
      </c>
      <c r="N50" s="1" t="str">
        <f t="shared" si="30"/>
        <v/>
      </c>
      <c r="O50" s="23">
        <f>IF(AF50="","",AF50)</f>
        <v>0</v>
      </c>
      <c r="S50" s="8" t="s">
        <v>1802</v>
      </c>
      <c r="T50" s="1"/>
      <c r="U50" s="1"/>
      <c r="V50" s="72">
        <f>SUM(V37:V49)</f>
        <v>0</v>
      </c>
      <c r="W50" s="1"/>
      <c r="X50" s="72">
        <f>SUM(X37:X49)</f>
        <v>0</v>
      </c>
      <c r="Y50" s="1"/>
      <c r="Z50" s="72">
        <f>SUM(Z37:Z49)</f>
        <v>0</v>
      </c>
      <c r="AA50" s="1"/>
      <c r="AB50" s="72">
        <f>SUM(AB37:AB49)</f>
        <v>0</v>
      </c>
      <c r="AC50" s="1"/>
      <c r="AD50" s="72">
        <f>SUM(AD37:AD49)</f>
        <v>0</v>
      </c>
      <c r="AE50" s="1"/>
      <c r="AF50" s="72">
        <f>SUM(AF37:AF49)</f>
        <v>0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0</v>
      </c>
      <c r="BB50" s="213">
        <f>AE49</f>
        <v>0</v>
      </c>
      <c r="BC50" s="214">
        <f>+S32</f>
        <v>2</v>
      </c>
      <c r="BF50" s="215">
        <f>SUM(BF31:BF49)</f>
        <v>0</v>
      </c>
      <c r="BM50" s="212">
        <f>+BB50/1000000+BA50</f>
        <v>0</v>
      </c>
      <c r="BN50" s="214">
        <f>RANK(BM50,BM:BM)</f>
        <v>1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M52" si="49">IF(S52=0,"",S52)</f>
        <v>Gegner-Nr.:</v>
      </c>
      <c r="C52" s="5" t="str">
        <f t="shared" si="49"/>
        <v>&gt;&gt;&gt;&gt;</v>
      </c>
      <c r="D52" s="350">
        <f t="shared" si="49"/>
        <v>1</v>
      </c>
      <c r="E52" s="350" t="str">
        <f t="shared" si="49"/>
        <v/>
      </c>
      <c r="F52" s="350">
        <f t="shared" si="49"/>
        <v>3</v>
      </c>
      <c r="G52" s="350" t="str">
        <f t="shared" si="49"/>
        <v/>
      </c>
      <c r="H52" s="350">
        <f t="shared" si="49"/>
        <v>5</v>
      </c>
      <c r="I52" s="350" t="str">
        <f t="shared" si="49"/>
        <v/>
      </c>
      <c r="J52" s="350">
        <f t="shared" si="49"/>
        <v>6</v>
      </c>
      <c r="K52" s="350" t="str">
        <f t="shared" si="49"/>
        <v/>
      </c>
      <c r="L52" s="350">
        <f t="shared" si="49"/>
        <v>4</v>
      </c>
      <c r="M52" s="350" t="str">
        <f t="shared" si="49"/>
        <v/>
      </c>
      <c r="N52" s="351"/>
      <c r="O52" s="351"/>
      <c r="S52" s="13" t="s">
        <v>1789</v>
      </c>
      <c r="T52" s="5" t="s">
        <v>1790</v>
      </c>
      <c r="U52" s="369">
        <f>VLOOKUP($S32,Schlüssel!$A$5:$DG$10,103)</f>
        <v>1</v>
      </c>
      <c r="V52" s="370"/>
      <c r="W52" s="369">
        <f>VLOOKUP($S32,Schlüssel!$A$5:$EK$10,104)</f>
        <v>3</v>
      </c>
      <c r="X52" s="370"/>
      <c r="Y52" s="369">
        <f>VLOOKUP($S32,Schlüssel!$A$5:$EK$10,105)</f>
        <v>5</v>
      </c>
      <c r="Z52" s="370"/>
      <c r="AA52" s="369">
        <f>VLOOKUP($S32,Schlüssel!$A$5:$EK$10,106)</f>
        <v>6</v>
      </c>
      <c r="AB52" s="370"/>
      <c r="AC52" s="369">
        <f>VLOOKUP($S32,Schlüssel!$A$5:$EK$10,107)</f>
        <v>4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ref="B53:K54" si="50">IF(S53=0,"",S53)</f>
        <v/>
      </c>
      <c r="C53" s="1" t="str">
        <f t="shared" si="50"/>
        <v/>
      </c>
      <c r="D53" s="347" t="str">
        <f t="shared" si="50"/>
        <v>Castra Regina Regensburg 3</v>
      </c>
      <c r="E53" s="348" t="str">
        <f t="shared" si="50"/>
        <v/>
      </c>
      <c r="F53" s="347" t="str">
        <f t="shared" si="50"/>
        <v>Kings Club Bayreuth Land 2</v>
      </c>
      <c r="G53" s="348" t="str">
        <f t="shared" si="50"/>
        <v/>
      </c>
      <c r="H53" s="347" t="str">
        <f t="shared" si="50"/>
        <v>Castra Regina Regensburg 2</v>
      </c>
      <c r="I53" s="348" t="str">
        <f t="shared" si="50"/>
        <v/>
      </c>
      <c r="J53" s="347" t="str">
        <f t="shared" si="50"/>
        <v>Adler Nürnberg 1</v>
      </c>
      <c r="K53" s="348" t="str">
        <f t="shared" si="50"/>
        <v/>
      </c>
      <c r="L53" s="347" t="str">
        <f>IF(AC53=0,"",AC53)</f>
        <v>Kings Club Bayreuth Land 3</v>
      </c>
      <c r="M53" s="348" t="str">
        <f>IF(AD53=0,"",AD53)</f>
        <v/>
      </c>
      <c r="N53" s="349"/>
      <c r="O53" s="349"/>
      <c r="S53" s="4"/>
      <c r="T53" s="1"/>
      <c r="U53" s="347" t="str">
        <f>VLOOKUP(U52,Schlüssel!$A$5:$K$10,2)</f>
        <v>Castra Regina Regensburg 3</v>
      </c>
      <c r="V53" s="348"/>
      <c r="W53" s="347" t="str">
        <f>VLOOKUP(W52,Schlüssel!$A$5:$K$10,2)</f>
        <v>Kings Club Bayreuth Land 2</v>
      </c>
      <c r="X53" s="348"/>
      <c r="Y53" s="347" t="str">
        <f>VLOOKUP(Y52,Schlüssel!$A$5:$K$10,2)</f>
        <v>Castra Regina Regensburg 2</v>
      </c>
      <c r="Z53" s="348"/>
      <c r="AA53" s="347" t="str">
        <f>VLOOKUP(AA52,Schlüssel!$A$5:$K$10,2)</f>
        <v>Adler Nürnberg 1</v>
      </c>
      <c r="AB53" s="348"/>
      <c r="AC53" s="347" t="str">
        <f>VLOOKUP(AC52,Schlüssel!$A$5:$K$10,2)</f>
        <v>Kings Club Bayreuth Land 3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50"/>
        <v/>
      </c>
      <c r="C54" s="1" t="str">
        <f t="shared" si="50"/>
        <v/>
      </c>
      <c r="D54" s="346" t="str">
        <f t="shared" si="50"/>
        <v/>
      </c>
      <c r="E54" s="346" t="str">
        <f t="shared" si="50"/>
        <v/>
      </c>
      <c r="F54" s="346" t="str">
        <f t="shared" si="50"/>
        <v/>
      </c>
      <c r="G54" s="346" t="str">
        <f t="shared" si="50"/>
        <v/>
      </c>
      <c r="H54" s="346" t="str">
        <f t="shared" si="50"/>
        <v/>
      </c>
      <c r="I54" s="346" t="str">
        <f t="shared" si="50"/>
        <v/>
      </c>
      <c r="J54" s="346" t="str">
        <f t="shared" si="50"/>
        <v/>
      </c>
      <c r="K54" s="346" t="str">
        <f t="shared" si="50"/>
        <v/>
      </c>
      <c r="L54" s="346" t="str">
        <f>IF(AC54=0,"",AC54)</f>
        <v/>
      </c>
      <c r="M54" s="346" t="str">
        <f>IF(AD54=0,"",AD54)</f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ref="B55:C59" si="51">IF(S55=0,"",S55)</f>
        <v>Spieler 1</v>
      </c>
      <c r="C55" s="372" t="str">
        <f t="shared" si="51"/>
        <v/>
      </c>
      <c r="D55" s="344">
        <f>IF(U55=301,"",U55)</f>
        <v>0</v>
      </c>
      <c r="E55" s="344" t="str">
        <f>IF(V55=0,"",V55)</f>
        <v/>
      </c>
      <c r="F55" s="344">
        <f>IF(W55=301,"",W55)</f>
        <v>0</v>
      </c>
      <c r="G55" s="344" t="str">
        <f>IF(X55=0,"",X55)</f>
        <v/>
      </c>
      <c r="H55" s="344">
        <f>IF(Y55=301,"",Y55)</f>
        <v>0</v>
      </c>
      <c r="I55" s="344" t="str">
        <f>IF(Z55=0,"",Z55)</f>
        <v/>
      </c>
      <c r="J55" s="344">
        <f>IF(AA55=301,"",AA55)</f>
        <v>0</v>
      </c>
      <c r="K55" s="344" t="str">
        <f>IF(AB55=0,"",AB55)</f>
        <v/>
      </c>
      <c r="L55" s="344">
        <f>IF(AC55=301,"",AC55)</f>
        <v>0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0</v>
      </c>
      <c r="V55" s="368"/>
      <c r="W55" s="367">
        <f>ABS(INDEX(W:W,MATCH(W52,$S:$S,0)+5)+INDEX(W:W,MATCH(W52,$S:$S,0)+6)+INDEX(W:W,MATCH(W52,$S:$S,0)+7))</f>
        <v>0</v>
      </c>
      <c r="X55" s="368"/>
      <c r="Y55" s="367">
        <f>ABS(INDEX(Y:Y,MATCH(Y52,$S:$S,0)+5)+INDEX(Y:Y,MATCH(Y52,$S:$S,0)+6)+INDEX(Y:Y,MATCH(Y52,$S:$S,0)+7))</f>
        <v>0</v>
      </c>
      <c r="Z55" s="368"/>
      <c r="AA55" s="367">
        <f>ABS(INDEX(AA:AA,MATCH(AA52,$S:$S,0)+5)+INDEX(AA:AA,MATCH(AA52,$S:$S,0)+6)+INDEX(AA:AA,MATCH(AA52,$S:$S,0)+7))</f>
        <v>0</v>
      </c>
      <c r="AB55" s="368"/>
      <c r="AC55" s="367">
        <f>ABS(INDEX(AC:AC,MATCH(AC52,$S:$S,0)+5)+INDEX(AC:AC,MATCH(AC52,$S:$S,0)+6)+INDEX(AC:AC,MATCH(AC52,$S:$S,0)+7))</f>
        <v>0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1"/>
        <v/>
      </c>
      <c r="D56" s="344">
        <f>IF(U56=301,"",U56)</f>
        <v>0</v>
      </c>
      <c r="E56" s="344" t="str">
        <f>IF(V56=0,"",V56)</f>
        <v/>
      </c>
      <c r="F56" s="344">
        <f>IF(W56=301,"",W56)</f>
        <v>0</v>
      </c>
      <c r="G56" s="344" t="str">
        <f>IF(X56=0,"",X56)</f>
        <v/>
      </c>
      <c r="H56" s="344">
        <f>IF(Y56=301,"",Y56)</f>
        <v>0</v>
      </c>
      <c r="I56" s="344" t="str">
        <f>IF(Z56=0,"",Z56)</f>
        <v/>
      </c>
      <c r="J56" s="344">
        <f>IF(AA56=301,"",AA56)</f>
        <v>0</v>
      </c>
      <c r="K56" s="344" t="str">
        <f>IF(AB56=0,"",AB56)</f>
        <v/>
      </c>
      <c r="L56" s="344">
        <f>IF(AC56=301,"",AC56)</f>
        <v>0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0</v>
      </c>
      <c r="V56" s="366"/>
      <c r="W56" s="365">
        <f>ABS(INDEX(W:W,MATCH(W52,$S:$S,0)+8)+INDEX(W:W,MATCH(W52,$S:$S,0)+9)+INDEX(W:W,MATCH(W52,$S:$S,0)+10))</f>
        <v>0</v>
      </c>
      <c r="X56" s="366"/>
      <c r="Y56" s="365">
        <f>ABS(INDEX(Y:Y,MATCH(Y52,$S:$S,0)+8)+INDEX(Y:Y,MATCH(Y52,$S:$S,0)+9)+INDEX(Y:Y,MATCH(Y52,$S:$S,0)+10))</f>
        <v>0</v>
      </c>
      <c r="Z56" s="366"/>
      <c r="AA56" s="365">
        <f>ABS(INDEX(AA:AA,MATCH(AA52,$S:$S,0)+8)+INDEX(AA:AA,MATCH(AA52,$S:$S,0)+9)+INDEX(AA:AA,MATCH(AA52,$S:$S,0)+10))</f>
        <v>0</v>
      </c>
      <c r="AB56" s="366"/>
      <c r="AC56" s="365">
        <f>ABS(INDEX(AC:AC,MATCH(AC52,$S:$S,0)+8)+INDEX(AC:AC,MATCH(AC52,$S:$S,0)+9)+INDEX(AC:AC,MATCH(AC52,$S:$S,0)+10))</f>
        <v>0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1"/>
        <v/>
      </c>
      <c r="D57" s="344">
        <f>IF(U57=301,"",U57)</f>
        <v>0</v>
      </c>
      <c r="E57" s="344" t="str">
        <f>IF(V57=0,"",V57)</f>
        <v/>
      </c>
      <c r="F57" s="344">
        <f>IF(W57=301,"",W57)</f>
        <v>0</v>
      </c>
      <c r="G57" s="344" t="str">
        <f>IF(X57=0,"",X57)</f>
        <v/>
      </c>
      <c r="H57" s="344">
        <f>IF(Y57=301,"",Y57)</f>
        <v>0</v>
      </c>
      <c r="I57" s="344" t="str">
        <f>IF(Z57=0,"",Z57)</f>
        <v/>
      </c>
      <c r="J57" s="344">
        <f>IF(AA57=301,"",AA57)</f>
        <v>0</v>
      </c>
      <c r="K57" s="344" t="str">
        <f>IF(AB57=0,"",AB57)</f>
        <v/>
      </c>
      <c r="L57" s="344">
        <f>IF(AC57=301,"",AC57)</f>
        <v>0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0</v>
      </c>
      <c r="V57" s="366"/>
      <c r="W57" s="365">
        <f>ABS(INDEX(W:W,MATCH(W52,$S:$S,0)+11)+INDEX(W:W,MATCH(W52,$S:$S,0)+12)+INDEX(W:W,MATCH(W52,$S:$S,0)+13))</f>
        <v>0</v>
      </c>
      <c r="X57" s="366"/>
      <c r="Y57" s="365">
        <f>ABS(INDEX(Y:Y,MATCH(Y52,$S:$S,0)+11)+INDEX(Y:Y,MATCH(Y52,$S:$S,0)+12)+INDEX(Y:Y,MATCH(Y52,$S:$S,0)+13))</f>
        <v>0</v>
      </c>
      <c r="Z57" s="366"/>
      <c r="AA57" s="365">
        <f>ABS(INDEX(AA:AA,MATCH(AA52,$S:$S,0)+11)+INDEX(AA:AA,MATCH(AA52,$S:$S,0)+12)+INDEX(AA:AA,MATCH(AA52,$S:$S,0)+13))</f>
        <v>0</v>
      </c>
      <c r="AB57" s="366"/>
      <c r="AC57" s="365">
        <f>ABS(INDEX(AC:AC,MATCH(AC52,$S:$S,0)+11)+INDEX(AC:AC,MATCH(AC52,$S:$S,0)+12)+INDEX(AC:AC,MATCH(AC52,$S:$S,0)+13))</f>
        <v>0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1"/>
        <v/>
      </c>
      <c r="D58" s="344">
        <f>IF(U58=301,"",U58)</f>
        <v>0</v>
      </c>
      <c r="E58" s="344" t="str">
        <f>IF(V58=0,"",V58)</f>
        <v/>
      </c>
      <c r="F58" s="344">
        <f>IF(W58=301,"",W58)</f>
        <v>0</v>
      </c>
      <c r="G58" s="344" t="str">
        <f>IF(X58=0,"",X58)</f>
        <v/>
      </c>
      <c r="H58" s="344">
        <f>IF(Y58=301,"",Y58)</f>
        <v>0</v>
      </c>
      <c r="I58" s="344" t="str">
        <f>IF(Z58=0,"",Z58)</f>
        <v/>
      </c>
      <c r="J58" s="344">
        <f>IF(AA58=301,"",AA58)</f>
        <v>0</v>
      </c>
      <c r="K58" s="344" t="str">
        <f>IF(AB58=0,"",AB58)</f>
        <v/>
      </c>
      <c r="L58" s="344">
        <f>IF(AC58=301,"",AC58)</f>
        <v>0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0</v>
      </c>
      <c r="V58" s="366"/>
      <c r="W58" s="365">
        <f>ABS(INDEX(W:W,MATCH(W52,$S:$S,0)+14)+INDEX(W:W,MATCH(W52,$S:$S,0)+15)+INDEX(W:W,MATCH(W52,$S:$S,0)+16))</f>
        <v>0</v>
      </c>
      <c r="X58" s="366"/>
      <c r="Y58" s="365">
        <f>ABS(INDEX(Y:Y,MATCH(Y52,$S:$S,0)+14)+INDEX(Y:Y,MATCH(Y52,$S:$S,0)+15)+INDEX(Y:Y,MATCH(Y52,$S:$S,0)+16))</f>
        <v>0</v>
      </c>
      <c r="Z58" s="366"/>
      <c r="AA58" s="365">
        <f>ABS(INDEX(AA:AA,MATCH(AA52,$S:$S,0)+14)+INDEX(AA:AA,MATCH(AA52,$S:$S,0)+15)+INDEX(AA:AA,MATCH(AA52,$S:$S,0)+16))</f>
        <v>0</v>
      </c>
      <c r="AB58" s="366"/>
      <c r="AC58" s="365">
        <f>ABS(INDEX(AC:AC,MATCH(AC52,$S:$S,0)+14)+INDEX(AC:AC,MATCH(AC52,$S:$S,0)+15)+INDEX(AC:AC,MATCH(AC52,$S:$S,0)+16))</f>
        <v>0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1"/>
        <v/>
      </c>
      <c r="D59" s="343">
        <f>IF(U59=1505,"",U59)</f>
        <v>0</v>
      </c>
      <c r="E59" s="343" t="str">
        <f>IF(V59=0,"",V59)</f>
        <v/>
      </c>
      <c r="F59" s="343">
        <f>IF(W59=1505,"",W59)</f>
        <v>0</v>
      </c>
      <c r="G59" s="343" t="str">
        <f>IF(X59=0,"",X59)</f>
        <v/>
      </c>
      <c r="H59" s="343">
        <f>IF(Y59=1505,"",Y59)</f>
        <v>0</v>
      </c>
      <c r="I59" s="343" t="str">
        <f>IF(Z59=0,"",Z59)</f>
        <v/>
      </c>
      <c r="J59" s="343">
        <f>IF(AA59=1505,"",AA59)</f>
        <v>0</v>
      </c>
      <c r="K59" s="343" t="str">
        <f>IF(AB59=0,"",AB59)</f>
        <v/>
      </c>
      <c r="L59" s="343">
        <f>IF(AC59=1505,"",AC59)</f>
        <v>0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0</v>
      </c>
      <c r="V59" s="360"/>
      <c r="W59" s="359">
        <f>SUM(W55:W58)</f>
        <v>0</v>
      </c>
      <c r="X59" s="360"/>
      <c r="Y59" s="359">
        <f>SUM(Y55:Y58)</f>
        <v>0</v>
      </c>
      <c r="Z59" s="360"/>
      <c r="AA59" s="359">
        <f>SUM(AA55:AA58)</f>
        <v>0</v>
      </c>
      <c r="AB59" s="360"/>
      <c r="AC59" s="359">
        <f>SUM(AC55:AC58)</f>
        <v>0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 t="str">
        <f>AD61</f>
        <v>27.04.</v>
      </c>
      <c r="N61" s="376"/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Schlüssel!$DI$1</f>
        <v>27.04.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">
        <v>1786</v>
      </c>
      <c r="E62" s="84" t="str">
        <f>V62</f>
        <v>Regensburg Super Bowl</v>
      </c>
      <c r="F62" s="77"/>
      <c r="G62" s="77"/>
      <c r="H62" s="77"/>
      <c r="I62" s="77"/>
      <c r="J62" s="77"/>
      <c r="K62" s="77"/>
      <c r="L62" s="29" t="str">
        <f>AC62</f>
        <v>Spieltag:</v>
      </c>
      <c r="M62" s="86">
        <f>AD62</f>
        <v>6</v>
      </c>
      <c r="N62" s="28"/>
      <c r="R62" s="49"/>
      <c r="S62" s="50">
        <v>3</v>
      </c>
      <c r="U62" s="30" t="s">
        <v>1786</v>
      </c>
      <c r="V62" s="84" t="str">
        <f>Schlüssel!$CY$2</f>
        <v>Regensburg Super Bowl</v>
      </c>
      <c r="X62" s="77"/>
      <c r="Y62" s="77"/>
      <c r="Z62" s="77"/>
      <c r="AA62" s="77"/>
      <c r="AB62" s="77"/>
      <c r="AC62" s="29" t="s">
        <v>1784</v>
      </c>
      <c r="AD62" s="34">
        <v>6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VLOOKUP(S62,Schlüssel!$A$5:$DZ$10,113)</f>
        <v>11</v>
      </c>
      <c r="W64" s="193" t="s">
        <v>10</v>
      </c>
      <c r="X64" s="191">
        <f>VLOOKUP(S62,Schlüssel!$A$5:$DZ$10,114)</f>
        <v>14</v>
      </c>
      <c r="Y64" s="193" t="s">
        <v>10</v>
      </c>
      <c r="Z64" s="191">
        <f>VLOOKUP(S62,Schlüssel!$A$5:$DZ$10,115)</f>
        <v>15</v>
      </c>
      <c r="AA64" s="193" t="s">
        <v>10</v>
      </c>
      <c r="AB64" s="191">
        <f>VLOOKUP(S62,Schlüssel!$A$5:$DZ$10,116)</f>
        <v>13</v>
      </c>
      <c r="AC64" s="193" t="s">
        <v>10</v>
      </c>
      <c r="AD64" s="192">
        <f>VLOOKUP(S62,Schlüssel!$A$5:$DZ$10,117)</f>
        <v>12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/>
      </c>
      <c r="C67" s="18" t="str">
        <f>IF(T67=0,"",T67)</f>
        <v/>
      </c>
      <c r="D67" s="14" t="str">
        <f>IF(U67=0,"",U67)</f>
        <v/>
      </c>
      <c r="E67" s="352">
        <f>IF(V67="","",V67)</f>
        <v>0</v>
      </c>
      <c r="F67" s="14" t="str">
        <f t="shared" ref="F67:F80" si="52">IF(W67=0,"",W67)</f>
        <v/>
      </c>
      <c r="G67" s="352">
        <f>IF(X67="","",X67)</f>
        <v>0</v>
      </c>
      <c r="H67" s="14" t="str">
        <f t="shared" ref="H67:H80" si="53">IF(Y67=0,"",Y67)</f>
        <v/>
      </c>
      <c r="I67" s="352">
        <f>IF(Z67="","",Z67)</f>
        <v>0</v>
      </c>
      <c r="J67" s="14" t="str">
        <f t="shared" ref="J67:J80" si="54">IF(AA67=0,"",AA67)</f>
        <v/>
      </c>
      <c r="K67" s="352">
        <f>IF(AB67="","",AB67)</f>
        <v>0</v>
      </c>
      <c r="L67" s="14" t="str">
        <f t="shared" ref="L67:L80" si="55">IF(AC67=0,"",AC67)</f>
        <v/>
      </c>
      <c r="M67" s="352">
        <f>IF(AD67="","",AD67)</f>
        <v>0</v>
      </c>
      <c r="N67" s="14" t="str">
        <f t="shared" ref="N67:N80" si="56">IF(AE67=0,"",AE67)</f>
        <v/>
      </c>
      <c r="O67" s="352">
        <f>IF(AF67="","",AF67)</f>
        <v>0</v>
      </c>
      <c r="R67" s="355" t="s">
        <v>0</v>
      </c>
      <c r="S67" s="68" t="str">
        <f>IF(T67=0,"",VLOOKUP(T67,Starter!$A$1:$D$196,2,FALSE))</f>
        <v/>
      </c>
      <c r="T67" s="175"/>
      <c r="U67" s="183"/>
      <c r="V67" s="95">
        <f>IF(SUM(U67:U69)+U85=0,0,IF(ABS(SUM(U67:U69))=U85,0.5,IF(ABS(SUM(U67:U69))&gt;U85,1,0)))</f>
        <v>0</v>
      </c>
      <c r="W67" s="183"/>
      <c r="X67" s="95">
        <f>IF(SUM(W67:W69)+W85=0,0,IF(ABS(SUM(W67:W69))=W85,0.5,IF(ABS(SUM(W67:W69))&gt;W85,1,0)))</f>
        <v>0</v>
      </c>
      <c r="Y67" s="183"/>
      <c r="Z67" s="95">
        <f>IF(SUM(Y67:Y69)+Y85=0,0,IF(ABS(SUM(Y67:Y69))=Y85,0.5,IF(ABS(SUM(Y67:Y69))&gt;Y85,1,0)))</f>
        <v>0</v>
      </c>
      <c r="AA67" s="189"/>
      <c r="AB67" s="95">
        <f>IF(SUM(AA67:AA69)+AA85=0,0,IF(ABS(SUM(AA67:AA69))=AA85,0.5,IF(ABS(SUM(AA67:AA69))&gt;AA85,1,0)))</f>
        <v>0</v>
      </c>
      <c r="AC67" s="183"/>
      <c r="AD67" s="95">
        <f>IF(SUM(AC67:AC69)+AC85=0,0,IF(ABS(SUM(AC67:AC69))=AC85,0.5,IF(ABS(SUM(AC67:AC69))&gt;AC85,1,0)))</f>
        <v>0</v>
      </c>
      <c r="AE67" s="195">
        <f t="shared" ref="AE67:AE78" si="57">ABS(SUM(U67:U67))+ABS(SUM(W67:W67))+ABS(SUM(Y67:Y67))+ABS(SUM(AA67:AA67))+ABS(SUM(AC67:AC67))</f>
        <v>0</v>
      </c>
      <c r="AF67" s="180">
        <f>SUM(V67+X67+Z67+AB67+AD67)</f>
        <v>0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58">T67</f>
        <v>0</v>
      </c>
      <c r="BE67" s="213">
        <f t="shared" ref="BE67:BE78" si="59">AE67</f>
        <v>0</v>
      </c>
      <c r="BF67" s="215">
        <f t="shared" ref="BF67:BF78" si="60">COUNT(BH67:BL67)</f>
        <v>0</v>
      </c>
      <c r="BG67" s="215">
        <f t="shared" ref="BG67:BG78" si="61">COUNTIF(BH67:BL67,"&gt;0")</f>
        <v>0</v>
      </c>
      <c r="BH67" s="215" t="str">
        <f t="shared" ref="BH67:BH78" si="62">IF(U67=0,"",U67)</f>
        <v/>
      </c>
      <c r="BI67" s="215" t="str">
        <f t="shared" ref="BI67:BI78" si="63">IF(W67=0,"",W67)</f>
        <v/>
      </c>
      <c r="BJ67" s="215" t="str">
        <f t="shared" ref="BJ67:BJ78" si="64">IF(Y67=0,"",Y67)</f>
        <v/>
      </c>
      <c r="BK67" s="215" t="str">
        <f t="shared" ref="BK67:BK78" si="65">IF(AA67=0,"",AA67)</f>
        <v/>
      </c>
      <c r="BL67" s="215" t="str">
        <f t="shared" ref="BL67:BL78" si="66">IF(AC67=0,"",AC67)</f>
        <v/>
      </c>
      <c r="BM67" s="216"/>
      <c r="BN67" s="214"/>
      <c r="BO67" s="215">
        <f t="shared" ref="BO67:BO78" si="67">MAX(BH67:BL67)</f>
        <v>0</v>
      </c>
      <c r="BP67" s="215">
        <f t="shared" ref="BP67:BP78" si="68">IF(BO67&lt;MAX(BO:BO),0,BO67+ROW()/1000000000)</f>
        <v>6.7000000000000004E-8</v>
      </c>
      <c r="BQ67" s="215" t="str">
        <f>+S63</f>
        <v>Kings Club Bayreuth Land 2</v>
      </c>
      <c r="BR67" s="214">
        <f t="shared" ref="BR67:BR78" si="69">RANK(BP67,BP:BP)</f>
        <v>48</v>
      </c>
      <c r="BS67" s="215">
        <f t="shared" ref="BS67:BS78" si="70">SUMIF(BH67:BL67,"&gt;0")</f>
        <v>0</v>
      </c>
      <c r="BT67" s="215">
        <f>IF(COUNTIF(BH67:BL67,"&gt;0")&lt;Spielorte!$A$23,0,BE67/Spielorte!$A$23)</f>
        <v>0</v>
      </c>
      <c r="BU67" s="215">
        <f t="shared" ref="BU67:BU78" si="71">IF(BT67&lt;MAX(BT:BT),0,BT67+ROW()/1000000000)</f>
        <v>6.7000000000000004E-8</v>
      </c>
      <c r="BV67" s="214">
        <f t="shared" ref="BV67:BV78" si="72">IF(BU67=0,0,RANK(BU67,BU:BU))</f>
        <v>48</v>
      </c>
    </row>
    <row r="68" spans="1:74" ht="17.100000000000001" customHeight="1" x14ac:dyDescent="0.2">
      <c r="A68" s="374"/>
      <c r="B68" s="19" t="str">
        <f t="shared" ref="B68:D80" si="73">IF(S68=0,"",S68)</f>
        <v/>
      </c>
      <c r="C68" s="20" t="str">
        <f t="shared" si="73"/>
        <v/>
      </c>
      <c r="D68" s="15" t="str">
        <f t="shared" si="73"/>
        <v/>
      </c>
      <c r="E68" s="353"/>
      <c r="F68" s="15" t="str">
        <f t="shared" si="52"/>
        <v/>
      </c>
      <c r="G68" s="353"/>
      <c r="H68" s="15" t="str">
        <f t="shared" si="53"/>
        <v/>
      </c>
      <c r="I68" s="353"/>
      <c r="J68" s="15" t="str">
        <f t="shared" si="54"/>
        <v/>
      </c>
      <c r="K68" s="353"/>
      <c r="L68" s="15" t="str">
        <f t="shared" si="55"/>
        <v/>
      </c>
      <c r="M68" s="353"/>
      <c r="N68" s="15" t="str">
        <f t="shared" si="56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7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58"/>
        <v>0</v>
      </c>
      <c r="BE68" s="213">
        <f t="shared" si="59"/>
        <v>0</v>
      </c>
      <c r="BF68" s="215">
        <f t="shared" si="60"/>
        <v>0</v>
      </c>
      <c r="BG68" s="215">
        <f t="shared" si="61"/>
        <v>0</v>
      </c>
      <c r="BH68" s="215" t="str">
        <f t="shared" si="62"/>
        <v/>
      </c>
      <c r="BI68" s="215" t="str">
        <f t="shared" si="63"/>
        <v/>
      </c>
      <c r="BJ68" s="215" t="str">
        <f t="shared" si="64"/>
        <v/>
      </c>
      <c r="BK68" s="215" t="str">
        <f t="shared" si="65"/>
        <v/>
      </c>
      <c r="BL68" s="215" t="str">
        <f t="shared" si="66"/>
        <v/>
      </c>
      <c r="BM68" s="216"/>
      <c r="BN68" s="214"/>
      <c r="BO68" s="215">
        <f t="shared" si="67"/>
        <v>0</v>
      </c>
      <c r="BP68" s="215">
        <f t="shared" si="68"/>
        <v>6.8E-8</v>
      </c>
      <c r="BQ68" s="215" t="str">
        <f t="shared" ref="BQ68:BQ78" si="74">+BQ67</f>
        <v>Kings Club Bayreuth Land 2</v>
      </c>
      <c r="BR68" s="214">
        <f t="shared" si="69"/>
        <v>47</v>
      </c>
      <c r="BS68" s="215">
        <f t="shared" si="70"/>
        <v>0</v>
      </c>
      <c r="BT68" s="215">
        <f>IF(COUNTIF(BH68:BL68,"&gt;0")&lt;Spielorte!$A$23,0,BE68/Spielorte!$A$23)</f>
        <v>0</v>
      </c>
      <c r="BU68" s="215">
        <f t="shared" si="71"/>
        <v>6.8E-8</v>
      </c>
      <c r="BV68" s="214">
        <f t="shared" si="72"/>
        <v>47</v>
      </c>
    </row>
    <row r="69" spans="1:74" ht="17.100000000000001" customHeight="1" thickBot="1" x14ac:dyDescent="0.25">
      <c r="A69" s="375"/>
      <c r="B69" s="21" t="str">
        <f t="shared" si="73"/>
        <v/>
      </c>
      <c r="C69" s="22" t="str">
        <f t="shared" si="73"/>
        <v/>
      </c>
      <c r="D69" s="9" t="str">
        <f t="shared" si="73"/>
        <v/>
      </c>
      <c r="E69" s="354"/>
      <c r="F69" s="9" t="str">
        <f t="shared" si="52"/>
        <v/>
      </c>
      <c r="G69" s="354"/>
      <c r="H69" s="9" t="str">
        <f t="shared" si="53"/>
        <v/>
      </c>
      <c r="I69" s="354"/>
      <c r="J69" s="9" t="str">
        <f t="shared" si="54"/>
        <v/>
      </c>
      <c r="K69" s="354"/>
      <c r="L69" s="9" t="str">
        <f t="shared" si="55"/>
        <v/>
      </c>
      <c r="M69" s="354"/>
      <c r="N69" s="9" t="str">
        <f t="shared" si="56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7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58"/>
        <v>0</v>
      </c>
      <c r="BE69" s="213">
        <f t="shared" si="59"/>
        <v>0</v>
      </c>
      <c r="BF69" s="215">
        <f t="shared" si="60"/>
        <v>0</v>
      </c>
      <c r="BG69" s="215">
        <f t="shared" si="61"/>
        <v>0</v>
      </c>
      <c r="BH69" s="215" t="str">
        <f t="shared" si="62"/>
        <v/>
      </c>
      <c r="BI69" s="215" t="str">
        <f t="shared" si="63"/>
        <v/>
      </c>
      <c r="BJ69" s="215" t="str">
        <f t="shared" si="64"/>
        <v/>
      </c>
      <c r="BK69" s="215" t="str">
        <f t="shared" si="65"/>
        <v/>
      </c>
      <c r="BL69" s="215" t="str">
        <f t="shared" si="66"/>
        <v/>
      </c>
      <c r="BM69" s="216"/>
      <c r="BN69" s="214"/>
      <c r="BO69" s="215">
        <f t="shared" si="67"/>
        <v>0</v>
      </c>
      <c r="BP69" s="215">
        <f t="shared" si="68"/>
        <v>6.8999999999999996E-8</v>
      </c>
      <c r="BQ69" s="215" t="str">
        <f t="shared" si="74"/>
        <v>Kings Club Bayreuth Land 2</v>
      </c>
      <c r="BR69" s="214">
        <f t="shared" si="69"/>
        <v>46</v>
      </c>
      <c r="BS69" s="215">
        <f t="shared" si="70"/>
        <v>0</v>
      </c>
      <c r="BT69" s="215">
        <f>IF(COUNTIF(BH69:BL69,"&gt;0")&lt;Spielorte!$A$23,0,BE69/Spielorte!$A$23)</f>
        <v>0</v>
      </c>
      <c r="BU69" s="215">
        <f t="shared" si="71"/>
        <v>6.8999999999999996E-8</v>
      </c>
      <c r="BV69" s="214">
        <f t="shared" si="72"/>
        <v>46</v>
      </c>
    </row>
    <row r="70" spans="1:74" ht="17.100000000000001" customHeight="1" x14ac:dyDescent="0.2">
      <c r="A70" s="373" t="s">
        <v>2</v>
      </c>
      <c r="B70" s="17" t="str">
        <f t="shared" si="73"/>
        <v/>
      </c>
      <c r="C70" s="18" t="str">
        <f t="shared" si="73"/>
        <v/>
      </c>
      <c r="D70" s="14" t="str">
        <f t="shared" si="73"/>
        <v/>
      </c>
      <c r="E70" s="352">
        <f>IF(V70="","",V70)</f>
        <v>0</v>
      </c>
      <c r="F70" s="14" t="str">
        <f t="shared" si="52"/>
        <v/>
      </c>
      <c r="G70" s="352">
        <f>IF(X70="","",X70)</f>
        <v>0</v>
      </c>
      <c r="H70" s="14" t="str">
        <f t="shared" si="53"/>
        <v/>
      </c>
      <c r="I70" s="352">
        <f>IF(Z70="","",Z70)</f>
        <v>0</v>
      </c>
      <c r="J70" s="14" t="str">
        <f t="shared" si="54"/>
        <v/>
      </c>
      <c r="K70" s="352">
        <f>IF(AB70="","",AB70)</f>
        <v>0</v>
      </c>
      <c r="L70" s="14" t="str">
        <f t="shared" si="55"/>
        <v/>
      </c>
      <c r="M70" s="352">
        <f>IF(AD70="","",AD70)</f>
        <v>0</v>
      </c>
      <c r="N70" s="14" t="str">
        <f t="shared" si="56"/>
        <v/>
      </c>
      <c r="O70" s="352">
        <f>IF(AF70="","",AF70)</f>
        <v>0</v>
      </c>
      <c r="R70" s="355" t="s">
        <v>2</v>
      </c>
      <c r="S70" s="68" t="str">
        <f>IF(T70=0,"",VLOOKUP(T70,Starter!$A$1:$D$196,2,FALSE))</f>
        <v/>
      </c>
      <c r="T70" s="178"/>
      <c r="U70" s="186"/>
      <c r="V70" s="95">
        <f>IF(SUM(U70:U72)+U86=0,0,IF(ABS(SUM(U70:U72))=U86,0.5,IF(ABS(SUM(U70:U72))&gt;U86,1,0)))</f>
        <v>0</v>
      </c>
      <c r="W70" s="186"/>
      <c r="X70" s="95">
        <f>IF(SUM(W70:W72)+W86=0,0,IF(ABS(SUM(W70:W72))=W86,0.5,IF(ABS(SUM(W70:W72))&gt;W86,1,0)))</f>
        <v>0</v>
      </c>
      <c r="Y70" s="186"/>
      <c r="Z70" s="95">
        <f>IF(SUM(Y70:Y72)+Y86=0,0,IF(ABS(SUM(Y70:Y72))=Y86,0.5,IF(ABS(SUM(Y70:Y72))&gt;Y86,1,0)))</f>
        <v>0</v>
      </c>
      <c r="AA70" s="186"/>
      <c r="AB70" s="95">
        <f>IF(SUM(AA70:AA72)+AA86=0,0,IF(ABS(SUM(AA70:AA72))=AA86,0.5,IF(ABS(SUM(AA70:AA72))&gt;AA86,1,0)))</f>
        <v>0</v>
      </c>
      <c r="AC70" s="186"/>
      <c r="AD70" s="95">
        <f>IF(SUM(AC70:AC72)+AC86=0,0,IF(ABS(SUM(AC70:AC72))=AC86,0.5,IF(ABS(SUM(AC70:AC72))&gt;AC86,1,0)))</f>
        <v>0</v>
      </c>
      <c r="AE70" s="195">
        <f t="shared" si="57"/>
        <v>0</v>
      </c>
      <c r="AF70" s="180">
        <f>SUM(V70+X70+Z70+AB70+AD70)</f>
        <v>0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58"/>
        <v>0</v>
      </c>
      <c r="BE70" s="213">
        <f t="shared" si="59"/>
        <v>0</v>
      </c>
      <c r="BF70" s="215">
        <f t="shared" si="60"/>
        <v>0</v>
      </c>
      <c r="BG70" s="215">
        <f t="shared" si="61"/>
        <v>0</v>
      </c>
      <c r="BH70" s="215" t="str">
        <f t="shared" si="62"/>
        <v/>
      </c>
      <c r="BI70" s="215" t="str">
        <f t="shared" si="63"/>
        <v/>
      </c>
      <c r="BJ70" s="215" t="str">
        <f t="shared" si="64"/>
        <v/>
      </c>
      <c r="BK70" s="215" t="str">
        <f t="shared" si="65"/>
        <v/>
      </c>
      <c r="BL70" s="215" t="str">
        <f t="shared" si="66"/>
        <v/>
      </c>
      <c r="BM70" s="216"/>
      <c r="BN70" s="214"/>
      <c r="BO70" s="215">
        <f t="shared" si="67"/>
        <v>0</v>
      </c>
      <c r="BP70" s="215">
        <f t="shared" si="68"/>
        <v>7.0000000000000005E-8</v>
      </c>
      <c r="BQ70" s="215" t="str">
        <f t="shared" si="74"/>
        <v>Kings Club Bayreuth Land 2</v>
      </c>
      <c r="BR70" s="214">
        <f t="shared" si="69"/>
        <v>45</v>
      </c>
      <c r="BS70" s="215">
        <f t="shared" si="70"/>
        <v>0</v>
      </c>
      <c r="BT70" s="215">
        <f>IF(COUNTIF(BH70:BL70,"&gt;0")&lt;Spielorte!$A$23,0,BE70/Spielorte!$A$23)</f>
        <v>0</v>
      </c>
      <c r="BU70" s="215">
        <f t="shared" si="71"/>
        <v>7.0000000000000005E-8</v>
      </c>
      <c r="BV70" s="214">
        <f t="shared" si="72"/>
        <v>45</v>
      </c>
    </row>
    <row r="71" spans="1:74" ht="17.100000000000001" customHeight="1" x14ac:dyDescent="0.2">
      <c r="A71" s="374"/>
      <c r="B71" s="19" t="str">
        <f t="shared" si="73"/>
        <v/>
      </c>
      <c r="C71" s="20" t="str">
        <f t="shared" si="73"/>
        <v/>
      </c>
      <c r="D71" s="15" t="str">
        <f t="shared" si="73"/>
        <v/>
      </c>
      <c r="E71" s="353"/>
      <c r="F71" s="15" t="str">
        <f t="shared" si="52"/>
        <v/>
      </c>
      <c r="G71" s="353"/>
      <c r="H71" s="15" t="str">
        <f t="shared" si="53"/>
        <v/>
      </c>
      <c r="I71" s="353"/>
      <c r="J71" s="15" t="str">
        <f t="shared" si="54"/>
        <v/>
      </c>
      <c r="K71" s="353"/>
      <c r="L71" s="15" t="str">
        <f t="shared" si="55"/>
        <v/>
      </c>
      <c r="M71" s="353"/>
      <c r="N71" s="15" t="str">
        <f t="shared" si="56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7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58"/>
        <v>0</v>
      </c>
      <c r="BE71" s="213">
        <f t="shared" si="59"/>
        <v>0</v>
      </c>
      <c r="BF71" s="215">
        <f t="shared" si="60"/>
        <v>0</v>
      </c>
      <c r="BG71" s="215">
        <f t="shared" si="61"/>
        <v>0</v>
      </c>
      <c r="BH71" s="215" t="str">
        <f t="shared" si="62"/>
        <v/>
      </c>
      <c r="BI71" s="215" t="str">
        <f t="shared" si="63"/>
        <v/>
      </c>
      <c r="BJ71" s="215" t="str">
        <f t="shared" si="64"/>
        <v/>
      </c>
      <c r="BK71" s="215" t="str">
        <f t="shared" si="65"/>
        <v/>
      </c>
      <c r="BL71" s="215" t="str">
        <f t="shared" si="66"/>
        <v/>
      </c>
      <c r="BM71" s="216"/>
      <c r="BN71" s="214"/>
      <c r="BO71" s="215">
        <f t="shared" si="67"/>
        <v>0</v>
      </c>
      <c r="BP71" s="215">
        <f t="shared" si="68"/>
        <v>7.1E-8</v>
      </c>
      <c r="BQ71" s="215" t="str">
        <f t="shared" si="74"/>
        <v>Kings Club Bayreuth Land 2</v>
      </c>
      <c r="BR71" s="214">
        <f t="shared" si="69"/>
        <v>44</v>
      </c>
      <c r="BS71" s="215">
        <f t="shared" si="70"/>
        <v>0</v>
      </c>
      <c r="BT71" s="215">
        <f>IF(COUNTIF(BH71:BL71,"&gt;0")&lt;Spielorte!$A$23,0,BE71/Spielorte!$A$23)</f>
        <v>0</v>
      </c>
      <c r="BU71" s="215">
        <f t="shared" si="71"/>
        <v>7.1E-8</v>
      </c>
      <c r="BV71" s="214">
        <f t="shared" si="72"/>
        <v>44</v>
      </c>
    </row>
    <row r="72" spans="1:74" ht="17.100000000000001" customHeight="1" thickBot="1" x14ac:dyDescent="0.25">
      <c r="A72" s="375"/>
      <c r="B72" s="21" t="str">
        <f t="shared" si="73"/>
        <v/>
      </c>
      <c r="C72" s="22" t="str">
        <f t="shared" si="73"/>
        <v/>
      </c>
      <c r="D72" s="9" t="str">
        <f t="shared" si="73"/>
        <v/>
      </c>
      <c r="E72" s="354"/>
      <c r="F72" s="9" t="str">
        <f t="shared" si="52"/>
        <v/>
      </c>
      <c r="G72" s="354"/>
      <c r="H72" s="9" t="str">
        <f t="shared" si="53"/>
        <v/>
      </c>
      <c r="I72" s="354"/>
      <c r="J72" s="9" t="str">
        <f t="shared" si="54"/>
        <v/>
      </c>
      <c r="K72" s="354"/>
      <c r="L72" s="9" t="str">
        <f t="shared" si="55"/>
        <v/>
      </c>
      <c r="M72" s="354"/>
      <c r="N72" s="9" t="str">
        <f t="shared" si="56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7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58"/>
        <v>0</v>
      </c>
      <c r="BE72" s="213">
        <f t="shared" si="59"/>
        <v>0</v>
      </c>
      <c r="BF72" s="215">
        <f t="shared" si="60"/>
        <v>0</v>
      </c>
      <c r="BG72" s="215">
        <f t="shared" si="61"/>
        <v>0</v>
      </c>
      <c r="BH72" s="215" t="str">
        <f t="shared" si="62"/>
        <v/>
      </c>
      <c r="BI72" s="215" t="str">
        <f t="shared" si="63"/>
        <v/>
      </c>
      <c r="BJ72" s="215" t="str">
        <f t="shared" si="64"/>
        <v/>
      </c>
      <c r="BK72" s="215" t="str">
        <f t="shared" si="65"/>
        <v/>
      </c>
      <c r="BL72" s="215" t="str">
        <f t="shared" si="66"/>
        <v/>
      </c>
      <c r="BM72" s="216"/>
      <c r="BN72" s="214"/>
      <c r="BO72" s="215">
        <f t="shared" si="67"/>
        <v>0</v>
      </c>
      <c r="BP72" s="215">
        <f t="shared" si="68"/>
        <v>7.1999999999999996E-8</v>
      </c>
      <c r="BQ72" s="215" t="str">
        <f t="shared" si="74"/>
        <v>Kings Club Bayreuth Land 2</v>
      </c>
      <c r="BR72" s="214">
        <f t="shared" si="69"/>
        <v>43</v>
      </c>
      <c r="BS72" s="215">
        <f t="shared" si="70"/>
        <v>0</v>
      </c>
      <c r="BT72" s="215">
        <f>IF(COUNTIF(BH72:BL72,"&gt;0")&lt;Spielorte!$A$23,0,BE72/Spielorte!$A$23)</f>
        <v>0</v>
      </c>
      <c r="BU72" s="215">
        <f t="shared" si="71"/>
        <v>7.1999999999999996E-8</v>
      </c>
      <c r="BV72" s="214">
        <f t="shared" si="72"/>
        <v>43</v>
      </c>
    </row>
    <row r="73" spans="1:74" ht="17.100000000000001" customHeight="1" x14ac:dyDescent="0.2">
      <c r="A73" s="373" t="s">
        <v>3</v>
      </c>
      <c r="B73" s="17" t="str">
        <f t="shared" si="73"/>
        <v/>
      </c>
      <c r="C73" s="18" t="str">
        <f t="shared" si="73"/>
        <v/>
      </c>
      <c r="D73" s="14" t="str">
        <f t="shared" si="73"/>
        <v/>
      </c>
      <c r="E73" s="352">
        <f>IF(V73="","",V73)</f>
        <v>0</v>
      </c>
      <c r="F73" s="14" t="str">
        <f t="shared" si="52"/>
        <v/>
      </c>
      <c r="G73" s="352">
        <f>IF(X73="","",X73)</f>
        <v>0</v>
      </c>
      <c r="H73" s="14" t="str">
        <f t="shared" si="53"/>
        <v/>
      </c>
      <c r="I73" s="352">
        <f>IF(Z73="","",Z73)</f>
        <v>0</v>
      </c>
      <c r="J73" s="14" t="str">
        <f t="shared" si="54"/>
        <v/>
      </c>
      <c r="K73" s="352">
        <f>IF(AB73="","",AB73)</f>
        <v>0</v>
      </c>
      <c r="L73" s="14" t="str">
        <f t="shared" si="55"/>
        <v/>
      </c>
      <c r="M73" s="352">
        <f>IF(AD73="","",AD73)</f>
        <v>0</v>
      </c>
      <c r="N73" s="14" t="str">
        <f t="shared" si="56"/>
        <v/>
      </c>
      <c r="O73" s="352">
        <f>IF(AF73="","",AF73)</f>
        <v>0</v>
      </c>
      <c r="R73" s="355" t="s">
        <v>3</v>
      </c>
      <c r="S73" s="68" t="str">
        <f>IF(T73=0,"",VLOOKUP(T73,Starter!$A$1:$D$196,2,FALSE))</f>
        <v/>
      </c>
      <c r="T73" s="178"/>
      <c r="U73" s="186"/>
      <c r="V73" s="95">
        <f>IF(SUM(U73:U75)+U87=0,0,IF(ABS(SUM(U73:U75))=U87,0.5,IF(ABS(SUM(U73:U75))&gt;U87,1,0)))</f>
        <v>0</v>
      </c>
      <c r="W73" s="186"/>
      <c r="X73" s="95">
        <f>IF(SUM(W73:W75)+W87=0,0,IF(ABS(SUM(W73:W75))=W87,0.5,IF(ABS(SUM(W73:W75))&gt;W87,1,0)))</f>
        <v>0</v>
      </c>
      <c r="Y73" s="186"/>
      <c r="Z73" s="95">
        <f>IF(SUM(Y73:Y75)+Y87=0,0,IF(ABS(SUM(Y73:Y75))=Y87,0.5,IF(ABS(SUM(Y73:Y75))&gt;Y87,1,0)))</f>
        <v>0</v>
      </c>
      <c r="AA73" s="186"/>
      <c r="AB73" s="95">
        <f>IF(SUM(AA73:AA75)+AA87=0,0,IF(ABS(SUM(AA73:AA75))=AA87,0.5,IF(ABS(SUM(AA73:AA75))&gt;AA87,1,0)))</f>
        <v>0</v>
      </c>
      <c r="AC73" s="186"/>
      <c r="AD73" s="95">
        <f>IF(SUM(AC73:AC75)+AC87=0,0,IF(ABS(SUM(AC73:AC75))=AC87,0.5,IF(ABS(SUM(AC73:AC75))&gt;AC87,1,0)))</f>
        <v>0</v>
      </c>
      <c r="AE73" s="195">
        <f t="shared" si="57"/>
        <v>0</v>
      </c>
      <c r="AF73" s="180">
        <f>SUM(V73+X73+Z73+AB73+AD73)</f>
        <v>0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58"/>
        <v>0</v>
      </c>
      <c r="BE73" s="213">
        <f t="shared" si="59"/>
        <v>0</v>
      </c>
      <c r="BF73" s="215">
        <f t="shared" si="60"/>
        <v>0</v>
      </c>
      <c r="BG73" s="215">
        <f t="shared" si="61"/>
        <v>0</v>
      </c>
      <c r="BH73" s="215" t="str">
        <f t="shared" si="62"/>
        <v/>
      </c>
      <c r="BI73" s="215" t="str">
        <f t="shared" si="63"/>
        <v/>
      </c>
      <c r="BJ73" s="215" t="str">
        <f t="shared" si="64"/>
        <v/>
      </c>
      <c r="BK73" s="215" t="str">
        <f t="shared" si="65"/>
        <v/>
      </c>
      <c r="BL73" s="215" t="str">
        <f t="shared" si="66"/>
        <v/>
      </c>
      <c r="BM73" s="216"/>
      <c r="BN73" s="214"/>
      <c r="BO73" s="215">
        <f t="shared" si="67"/>
        <v>0</v>
      </c>
      <c r="BP73" s="215">
        <f t="shared" si="68"/>
        <v>7.3000000000000005E-8</v>
      </c>
      <c r="BQ73" s="215" t="str">
        <f t="shared" si="74"/>
        <v>Kings Club Bayreuth Land 2</v>
      </c>
      <c r="BR73" s="214">
        <f t="shared" si="69"/>
        <v>42</v>
      </c>
      <c r="BS73" s="215">
        <f t="shared" si="70"/>
        <v>0</v>
      </c>
      <c r="BT73" s="215">
        <f>IF(COUNTIF(BH73:BL73,"&gt;0")&lt;Spielorte!$A$23,0,BE73/Spielorte!$A$23)</f>
        <v>0</v>
      </c>
      <c r="BU73" s="215">
        <f t="shared" si="71"/>
        <v>7.3000000000000005E-8</v>
      </c>
      <c r="BV73" s="214">
        <f t="shared" si="72"/>
        <v>42</v>
      </c>
    </row>
    <row r="74" spans="1:74" ht="17.100000000000001" customHeight="1" x14ac:dyDescent="0.2">
      <c r="A74" s="374"/>
      <c r="B74" s="19" t="str">
        <f t="shared" si="73"/>
        <v/>
      </c>
      <c r="C74" s="20" t="str">
        <f t="shared" si="73"/>
        <v/>
      </c>
      <c r="D74" s="15" t="str">
        <f t="shared" si="73"/>
        <v/>
      </c>
      <c r="E74" s="353"/>
      <c r="F74" s="15" t="str">
        <f t="shared" si="52"/>
        <v/>
      </c>
      <c r="G74" s="353"/>
      <c r="H74" s="15" t="str">
        <f t="shared" si="53"/>
        <v/>
      </c>
      <c r="I74" s="353"/>
      <c r="J74" s="15" t="str">
        <f t="shared" si="54"/>
        <v/>
      </c>
      <c r="K74" s="353"/>
      <c r="L74" s="15" t="str">
        <f t="shared" si="55"/>
        <v/>
      </c>
      <c r="M74" s="353"/>
      <c r="N74" s="15" t="str">
        <f t="shared" si="56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7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58"/>
        <v>0</v>
      </c>
      <c r="BE74" s="213">
        <f t="shared" si="59"/>
        <v>0</v>
      </c>
      <c r="BF74" s="215">
        <f t="shared" si="60"/>
        <v>0</v>
      </c>
      <c r="BG74" s="215">
        <f t="shared" si="61"/>
        <v>0</v>
      </c>
      <c r="BH74" s="215" t="str">
        <f t="shared" si="62"/>
        <v/>
      </c>
      <c r="BI74" s="215" t="str">
        <f t="shared" si="63"/>
        <v/>
      </c>
      <c r="BJ74" s="215" t="str">
        <f t="shared" si="64"/>
        <v/>
      </c>
      <c r="BK74" s="215" t="str">
        <f t="shared" si="65"/>
        <v/>
      </c>
      <c r="BL74" s="215" t="str">
        <f t="shared" si="66"/>
        <v/>
      </c>
      <c r="BM74" s="216"/>
      <c r="BN74" s="214"/>
      <c r="BO74" s="215">
        <f t="shared" si="67"/>
        <v>0</v>
      </c>
      <c r="BP74" s="215">
        <f t="shared" si="68"/>
        <v>7.4000000000000001E-8</v>
      </c>
      <c r="BQ74" s="215" t="str">
        <f t="shared" si="74"/>
        <v>Kings Club Bayreuth Land 2</v>
      </c>
      <c r="BR74" s="214">
        <f t="shared" si="69"/>
        <v>41</v>
      </c>
      <c r="BS74" s="215">
        <f t="shared" si="70"/>
        <v>0</v>
      </c>
      <c r="BT74" s="215">
        <f>IF(COUNTIF(BH74:BL74,"&gt;0")&lt;Spielorte!$A$23,0,BE74/Spielorte!$A$23)</f>
        <v>0</v>
      </c>
      <c r="BU74" s="215">
        <f t="shared" si="71"/>
        <v>7.4000000000000001E-8</v>
      </c>
      <c r="BV74" s="214">
        <f t="shared" si="72"/>
        <v>41</v>
      </c>
    </row>
    <row r="75" spans="1:74" ht="17.100000000000001" customHeight="1" thickBot="1" x14ac:dyDescent="0.25">
      <c r="A75" s="375"/>
      <c r="B75" s="21" t="str">
        <f t="shared" si="73"/>
        <v/>
      </c>
      <c r="C75" s="22" t="str">
        <f t="shared" si="73"/>
        <v/>
      </c>
      <c r="D75" s="9" t="str">
        <f t="shared" si="73"/>
        <v/>
      </c>
      <c r="E75" s="354"/>
      <c r="F75" s="9" t="str">
        <f t="shared" si="52"/>
        <v/>
      </c>
      <c r="G75" s="354"/>
      <c r="H75" s="9" t="str">
        <f t="shared" si="53"/>
        <v/>
      </c>
      <c r="I75" s="354"/>
      <c r="J75" s="9" t="str">
        <f t="shared" si="54"/>
        <v/>
      </c>
      <c r="K75" s="354"/>
      <c r="L75" s="9" t="str">
        <f t="shared" si="55"/>
        <v/>
      </c>
      <c r="M75" s="354"/>
      <c r="N75" s="9" t="str">
        <f t="shared" si="56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7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58"/>
        <v>0</v>
      </c>
      <c r="BE75" s="213">
        <f t="shared" si="59"/>
        <v>0</v>
      </c>
      <c r="BF75" s="215">
        <f t="shared" si="60"/>
        <v>0</v>
      </c>
      <c r="BG75" s="215">
        <f t="shared" si="61"/>
        <v>0</v>
      </c>
      <c r="BH75" s="215" t="str">
        <f t="shared" si="62"/>
        <v/>
      </c>
      <c r="BI75" s="215" t="str">
        <f t="shared" si="63"/>
        <v/>
      </c>
      <c r="BJ75" s="215" t="str">
        <f t="shared" si="64"/>
        <v/>
      </c>
      <c r="BK75" s="215" t="str">
        <f t="shared" si="65"/>
        <v/>
      </c>
      <c r="BL75" s="215" t="str">
        <f t="shared" si="66"/>
        <v/>
      </c>
      <c r="BM75" s="216"/>
      <c r="BN75" s="214"/>
      <c r="BO75" s="215">
        <f t="shared" si="67"/>
        <v>0</v>
      </c>
      <c r="BP75" s="215">
        <f t="shared" si="68"/>
        <v>7.4999999999999997E-8</v>
      </c>
      <c r="BQ75" s="215" t="str">
        <f t="shared" si="74"/>
        <v>Kings Club Bayreuth Land 2</v>
      </c>
      <c r="BR75" s="214">
        <f t="shared" si="69"/>
        <v>40</v>
      </c>
      <c r="BS75" s="215">
        <f t="shared" si="70"/>
        <v>0</v>
      </c>
      <c r="BT75" s="215">
        <f>IF(COUNTIF(BH75:BL75,"&gt;0")&lt;Spielorte!$A$23,0,BE75/Spielorte!$A$23)</f>
        <v>0</v>
      </c>
      <c r="BU75" s="215">
        <f t="shared" si="71"/>
        <v>7.4999999999999997E-8</v>
      </c>
      <c r="BV75" s="214">
        <f t="shared" si="72"/>
        <v>40</v>
      </c>
    </row>
    <row r="76" spans="1:74" ht="17.100000000000001" customHeight="1" x14ac:dyDescent="0.2">
      <c r="A76" s="373" t="s">
        <v>11</v>
      </c>
      <c r="B76" s="17" t="str">
        <f>IF(S76=0,"",S76)</f>
        <v/>
      </c>
      <c r="C76" s="18" t="str">
        <f t="shared" si="73"/>
        <v/>
      </c>
      <c r="D76" s="14" t="str">
        <f t="shared" si="73"/>
        <v/>
      </c>
      <c r="E76" s="352">
        <f>IF(V76="","",V76)</f>
        <v>0</v>
      </c>
      <c r="F76" s="14" t="str">
        <f t="shared" si="52"/>
        <v/>
      </c>
      <c r="G76" s="352">
        <f>IF(X76="","",X76)</f>
        <v>0</v>
      </c>
      <c r="H76" s="14" t="str">
        <f t="shared" si="53"/>
        <v/>
      </c>
      <c r="I76" s="352">
        <f>IF(Z76="","",Z76)</f>
        <v>0</v>
      </c>
      <c r="J76" s="14" t="str">
        <f t="shared" si="54"/>
        <v/>
      </c>
      <c r="K76" s="352">
        <f>IF(AB76="","",AB76)</f>
        <v>0</v>
      </c>
      <c r="L76" s="14" t="str">
        <f t="shared" si="55"/>
        <v/>
      </c>
      <c r="M76" s="352">
        <f>IF(AD76="","",AD76)</f>
        <v>0</v>
      </c>
      <c r="N76" s="14" t="str">
        <f t="shared" si="56"/>
        <v/>
      </c>
      <c r="O76" s="352">
        <f>IF(AF76="","",AF76)</f>
        <v>0</v>
      </c>
      <c r="R76" s="355" t="s">
        <v>11</v>
      </c>
      <c r="S76" s="68" t="str">
        <f>IF(T76=0,"",VLOOKUP(T76,Starter!$A$1:$D$196,2,FALSE))</f>
        <v/>
      </c>
      <c r="T76" s="178"/>
      <c r="U76" s="186"/>
      <c r="V76" s="95">
        <f>IF(SUM(U76:U78)+U88=0,0,IF(ABS(SUM(U76:U78))=U88,0.5,IF(ABS(SUM(U76:U78))&gt;U88,1,0)))</f>
        <v>0</v>
      </c>
      <c r="W76" s="186"/>
      <c r="X76" s="95">
        <f>IF(SUM(W76:W78)+W88=0,0,IF(ABS(SUM(W76:W78))=W88,0.5,IF(ABS(SUM(W76:W78))&gt;W88,1,0)))</f>
        <v>0</v>
      </c>
      <c r="Y76" s="186"/>
      <c r="Z76" s="95">
        <f>IF(SUM(Y76:Y78)+Y88=0,0,IF(ABS(SUM(Y76:Y78))=Y88,0.5,IF(ABS(SUM(Y76:Y78))&gt;Y88,1,0)))</f>
        <v>0</v>
      </c>
      <c r="AA76" s="186"/>
      <c r="AB76" s="95">
        <f>IF(SUM(AA76:AA78)+AA88=0,0,IF(ABS(SUM(AA76:AA78))=AA88,0.5,IF(ABS(SUM(AA76:AA78))&gt;AA88,1,0)))</f>
        <v>0</v>
      </c>
      <c r="AC76" s="186"/>
      <c r="AD76" s="95">
        <f>IF(SUM(AC76:AC78)+AC88=0,0,IF(ABS(SUM(AC76:AC78))=AC88,0.5,IF(ABS(SUM(AC76:AC78))&gt;AC88,1,0)))</f>
        <v>0</v>
      </c>
      <c r="AE76" s="195">
        <f t="shared" si="57"/>
        <v>0</v>
      </c>
      <c r="AF76" s="180">
        <f>SUM(V76+X76+Z76+AB76+AD76)</f>
        <v>0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58"/>
        <v>0</v>
      </c>
      <c r="BE76" s="213">
        <f t="shared" si="59"/>
        <v>0</v>
      </c>
      <c r="BF76" s="215">
        <f t="shared" si="60"/>
        <v>0</v>
      </c>
      <c r="BG76" s="215">
        <f t="shared" si="61"/>
        <v>0</v>
      </c>
      <c r="BH76" s="215" t="str">
        <f t="shared" si="62"/>
        <v/>
      </c>
      <c r="BI76" s="215" t="str">
        <f t="shared" si="63"/>
        <v/>
      </c>
      <c r="BJ76" s="215" t="str">
        <f t="shared" si="64"/>
        <v/>
      </c>
      <c r="BK76" s="215" t="str">
        <f t="shared" si="65"/>
        <v/>
      </c>
      <c r="BL76" s="215" t="str">
        <f t="shared" si="66"/>
        <v/>
      </c>
      <c r="BM76" s="216"/>
      <c r="BN76" s="214"/>
      <c r="BO76" s="215">
        <f t="shared" si="67"/>
        <v>0</v>
      </c>
      <c r="BP76" s="215">
        <f t="shared" si="68"/>
        <v>7.6000000000000006E-8</v>
      </c>
      <c r="BQ76" s="215" t="str">
        <f t="shared" si="74"/>
        <v>Kings Club Bayreuth Land 2</v>
      </c>
      <c r="BR76" s="214">
        <f t="shared" si="69"/>
        <v>39</v>
      </c>
      <c r="BS76" s="215">
        <f t="shared" si="70"/>
        <v>0</v>
      </c>
      <c r="BT76" s="215">
        <f>IF(COUNTIF(BH76:BL76,"&gt;0")&lt;Spielorte!$A$23,0,BE76/Spielorte!$A$23)</f>
        <v>0</v>
      </c>
      <c r="BU76" s="215">
        <f t="shared" si="71"/>
        <v>7.6000000000000006E-8</v>
      </c>
      <c r="BV76" s="214">
        <f t="shared" si="72"/>
        <v>39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3"/>
        <v/>
      </c>
      <c r="D77" s="15" t="str">
        <f t="shared" si="73"/>
        <v/>
      </c>
      <c r="E77" s="353"/>
      <c r="F77" s="15" t="str">
        <f t="shared" si="52"/>
        <v/>
      </c>
      <c r="G77" s="353"/>
      <c r="H77" s="15" t="str">
        <f t="shared" si="53"/>
        <v/>
      </c>
      <c r="I77" s="353"/>
      <c r="J77" s="15" t="str">
        <f t="shared" si="54"/>
        <v/>
      </c>
      <c r="K77" s="353"/>
      <c r="L77" s="15" t="str">
        <f t="shared" si="55"/>
        <v/>
      </c>
      <c r="M77" s="353"/>
      <c r="N77" s="15" t="str">
        <f t="shared" si="56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7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58"/>
        <v>0</v>
      </c>
      <c r="BE77" s="213">
        <f t="shared" si="59"/>
        <v>0</v>
      </c>
      <c r="BF77" s="215">
        <f t="shared" si="60"/>
        <v>0</v>
      </c>
      <c r="BG77" s="215">
        <f t="shared" si="61"/>
        <v>0</v>
      </c>
      <c r="BH77" s="215" t="str">
        <f t="shared" si="62"/>
        <v/>
      </c>
      <c r="BI77" s="215" t="str">
        <f t="shared" si="63"/>
        <v/>
      </c>
      <c r="BJ77" s="215" t="str">
        <f t="shared" si="64"/>
        <v/>
      </c>
      <c r="BK77" s="215" t="str">
        <f t="shared" si="65"/>
        <v/>
      </c>
      <c r="BL77" s="215" t="str">
        <f t="shared" si="66"/>
        <v/>
      </c>
      <c r="BM77" s="216"/>
      <c r="BN77" s="214"/>
      <c r="BO77" s="215">
        <f t="shared" si="67"/>
        <v>0</v>
      </c>
      <c r="BP77" s="215">
        <f t="shared" si="68"/>
        <v>7.7000000000000001E-8</v>
      </c>
      <c r="BQ77" s="215" t="str">
        <f t="shared" si="74"/>
        <v>Kings Club Bayreuth Land 2</v>
      </c>
      <c r="BR77" s="214">
        <f t="shared" si="69"/>
        <v>38</v>
      </c>
      <c r="BS77" s="215">
        <f t="shared" si="70"/>
        <v>0</v>
      </c>
      <c r="BT77" s="215">
        <f>IF(COUNTIF(BH77:BL77,"&gt;0")&lt;Spielorte!$A$23,0,BE77/Spielorte!$A$23)</f>
        <v>0</v>
      </c>
      <c r="BU77" s="215">
        <f t="shared" si="71"/>
        <v>7.7000000000000001E-8</v>
      </c>
      <c r="BV77" s="214">
        <f t="shared" si="72"/>
        <v>38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3"/>
        <v/>
      </c>
      <c r="D78" s="9" t="str">
        <f t="shared" si="73"/>
        <v/>
      </c>
      <c r="E78" s="354"/>
      <c r="F78" s="9" t="str">
        <f t="shared" si="52"/>
        <v/>
      </c>
      <c r="G78" s="354"/>
      <c r="H78" s="9" t="str">
        <f t="shared" si="53"/>
        <v/>
      </c>
      <c r="I78" s="354"/>
      <c r="J78" s="9" t="str">
        <f t="shared" si="54"/>
        <v/>
      </c>
      <c r="K78" s="354"/>
      <c r="L78" s="9" t="str">
        <f t="shared" si="55"/>
        <v/>
      </c>
      <c r="M78" s="354"/>
      <c r="N78" s="9" t="str">
        <f t="shared" si="56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7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58"/>
        <v>0</v>
      </c>
      <c r="BE78" s="213">
        <f t="shared" si="59"/>
        <v>0</v>
      </c>
      <c r="BF78" s="215">
        <f t="shared" si="60"/>
        <v>0</v>
      </c>
      <c r="BG78" s="215">
        <f t="shared" si="61"/>
        <v>0</v>
      </c>
      <c r="BH78" s="215" t="str">
        <f t="shared" si="62"/>
        <v/>
      </c>
      <c r="BI78" s="215" t="str">
        <f t="shared" si="63"/>
        <v/>
      </c>
      <c r="BJ78" s="215" t="str">
        <f t="shared" si="64"/>
        <v/>
      </c>
      <c r="BK78" s="215" t="str">
        <f t="shared" si="65"/>
        <v/>
      </c>
      <c r="BL78" s="215" t="str">
        <f t="shared" si="66"/>
        <v/>
      </c>
      <c r="BM78" s="216"/>
      <c r="BN78" s="214"/>
      <c r="BO78" s="215">
        <f t="shared" si="67"/>
        <v>0</v>
      </c>
      <c r="BP78" s="215">
        <f t="shared" si="68"/>
        <v>7.7999999999999997E-8</v>
      </c>
      <c r="BQ78" s="215" t="str">
        <f t="shared" si="74"/>
        <v>Kings Club Bayreuth Land 2</v>
      </c>
      <c r="BR78" s="214">
        <f t="shared" si="69"/>
        <v>37</v>
      </c>
      <c r="BS78" s="215">
        <f t="shared" si="70"/>
        <v>0</v>
      </c>
      <c r="BT78" s="215">
        <f>IF(COUNTIF(BH78:BL78,"&gt;0")&lt;Spielorte!$A$23,0,BE78/Spielorte!$A$23)</f>
        <v>0</v>
      </c>
      <c r="BU78" s="215">
        <f t="shared" si="71"/>
        <v>7.7999999999999997E-8</v>
      </c>
      <c r="BV78" s="214">
        <f t="shared" si="72"/>
        <v>37</v>
      </c>
    </row>
    <row r="79" spans="1:74" ht="27.75" customHeight="1" thickBot="1" x14ac:dyDescent="0.25">
      <c r="B79" s="11" t="str">
        <f>IF(S79=0,"",S79)</f>
        <v>Gesamt</v>
      </c>
      <c r="C79" s="26" t="str">
        <f t="shared" si="73"/>
        <v/>
      </c>
      <c r="D79" s="16" t="str">
        <f t="shared" si="73"/>
        <v/>
      </c>
      <c r="E79" s="12">
        <f>IF(V79="","",V79)</f>
        <v>0</v>
      </c>
      <c r="F79" s="16" t="str">
        <f t="shared" si="52"/>
        <v/>
      </c>
      <c r="G79" s="12">
        <f>IF(X79="","",X79)</f>
        <v>0</v>
      </c>
      <c r="H79" s="16" t="str">
        <f t="shared" si="53"/>
        <v/>
      </c>
      <c r="I79" s="12">
        <f>IF(Z79="","",Z79)</f>
        <v>0</v>
      </c>
      <c r="J79" s="16" t="str">
        <f t="shared" si="54"/>
        <v/>
      </c>
      <c r="K79" s="12">
        <f>IF(AB79="","",AB79)</f>
        <v>0</v>
      </c>
      <c r="L79" s="16" t="str">
        <f t="shared" si="55"/>
        <v/>
      </c>
      <c r="M79" s="12">
        <f>IF(AD79="","",AD79)</f>
        <v>0</v>
      </c>
      <c r="N79" s="16" t="str">
        <f t="shared" si="56"/>
        <v/>
      </c>
      <c r="O79" s="12">
        <f>IF(AF79="","",AF79)</f>
        <v>0</v>
      </c>
      <c r="S79" s="11" t="s">
        <v>1791</v>
      </c>
      <c r="T79" s="71"/>
      <c r="U79" s="188">
        <f>ABS(SUM(U67:U69))+ABS(SUM(U70:U72))+ABS(SUM(U73:U75))+ABS(SUM(U76:U78))</f>
        <v>0</v>
      </c>
      <c r="V79" s="98">
        <f>IF(U79+U89=0,0,IF(U79=U89,1,IF(U79&gt;U89,2,0)))</f>
        <v>0</v>
      </c>
      <c r="W79" s="188">
        <f>ABS(SUM(W67:W69))+ABS(SUM(W70:W72))+ABS(SUM(W73:W75))+ABS(SUM(W76:W78))</f>
        <v>0</v>
      </c>
      <c r="X79" s="98">
        <f>IF(W79+W89=0,0,IF(W79=W89,1,IF(W79&gt;W89,2,0)))</f>
        <v>0</v>
      </c>
      <c r="Y79" s="188">
        <f>ABS(SUM(Y67:Y69))+ABS(SUM(Y70:Y72))+ABS(SUM(Y73:Y75))+ABS(SUM(Y76:Y78))</f>
        <v>0</v>
      </c>
      <c r="Z79" s="98">
        <f>IF(Y79+Y89=0,0,IF(Y79=Y89,1,IF(Y79&gt;Y89,2,0)))</f>
        <v>0</v>
      </c>
      <c r="AA79" s="188">
        <f>ABS(SUM(AA67:AA69))+ABS(SUM(AA70:AA72))+ABS(SUM(AA73:AA75))+ABS(SUM(AA76:AA78))</f>
        <v>0</v>
      </c>
      <c r="AB79" s="98">
        <f>IF(AA79+AA89=0,0,IF(AA79=AA89,1,IF(AA79&gt;AA89,2,0)))</f>
        <v>0</v>
      </c>
      <c r="AC79" s="188">
        <f>ABS(SUM(AC67:AC69))+ABS(SUM(AC70:AC72))+ABS(SUM(AC73:AC75))+ABS(SUM(AC76:AC78))</f>
        <v>0</v>
      </c>
      <c r="AD79" s="98">
        <f>IF(AC79+AC89=0,0,IF(AC79=AC89,1,IF(AC79&gt;AC89,2,0)))</f>
        <v>0</v>
      </c>
      <c r="AE79" s="198">
        <f>SUM(U79+W79+Y79+AA79+AC79)</f>
        <v>0</v>
      </c>
      <c r="AF79" s="12">
        <f>SUM(V79+X79+Z79+AB79+AD79)</f>
        <v>0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3"/>
        <v/>
      </c>
      <c r="D80" s="1" t="str">
        <f t="shared" si="73"/>
        <v/>
      </c>
      <c r="E80" s="23">
        <f>IF(V80="","",V80)</f>
        <v>0</v>
      </c>
      <c r="F80" s="1" t="str">
        <f t="shared" si="52"/>
        <v/>
      </c>
      <c r="G80" s="23">
        <f>IF(X80="","",X80)</f>
        <v>0</v>
      </c>
      <c r="H80" s="1" t="str">
        <f t="shared" si="53"/>
        <v/>
      </c>
      <c r="I80" s="23">
        <f>IF(Z80="","",Z80)</f>
        <v>0</v>
      </c>
      <c r="J80" s="1" t="str">
        <f t="shared" si="54"/>
        <v/>
      </c>
      <c r="K80" s="23">
        <f>IF(AB80="","",AB80)</f>
        <v>0</v>
      </c>
      <c r="L80" s="1" t="str">
        <f t="shared" si="55"/>
        <v/>
      </c>
      <c r="M80" s="23">
        <f>IF(AD80="","",AD80)</f>
        <v>0</v>
      </c>
      <c r="N80" s="1" t="str">
        <f t="shared" si="56"/>
        <v/>
      </c>
      <c r="O80" s="23">
        <f>IF(AF80="","",AF80)</f>
        <v>0</v>
      </c>
      <c r="S80" s="8" t="s">
        <v>1802</v>
      </c>
      <c r="T80" s="1"/>
      <c r="U80" s="1"/>
      <c r="V80" s="72">
        <f>SUM(V67:V79)</f>
        <v>0</v>
      </c>
      <c r="W80" s="1"/>
      <c r="X80" s="72">
        <f>SUM(X67:X79)</f>
        <v>0</v>
      </c>
      <c r="Y80" s="1"/>
      <c r="Z80" s="72">
        <f>SUM(Z67:Z79)</f>
        <v>0</v>
      </c>
      <c r="AA80" s="1"/>
      <c r="AB80" s="72">
        <f>SUM(AB67:AB79)</f>
        <v>0</v>
      </c>
      <c r="AC80" s="1"/>
      <c r="AD80" s="72">
        <f>SUM(AD67:AD79)</f>
        <v>0</v>
      </c>
      <c r="AE80" s="1"/>
      <c r="AF80" s="72">
        <f>SUM(AF67:AF79)</f>
        <v>0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0</v>
      </c>
      <c r="BB80" s="213">
        <f>AE79</f>
        <v>0</v>
      </c>
      <c r="BC80" s="214">
        <f>+S62</f>
        <v>3</v>
      </c>
      <c r="BF80" s="215">
        <f>SUM(BF61:BF79)</f>
        <v>0</v>
      </c>
      <c r="BM80" s="212">
        <f>+BB80/1000000+BA80</f>
        <v>0</v>
      </c>
      <c r="BN80" s="214">
        <f>RANK(BM80,BM:BM)</f>
        <v>1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M82" si="75">IF(S82=0,"",S82)</f>
        <v>Gegner-Nr.:</v>
      </c>
      <c r="C82" s="5" t="str">
        <f t="shared" si="75"/>
        <v>&gt;&gt;&gt;&gt;</v>
      </c>
      <c r="D82" s="350">
        <f t="shared" si="75"/>
        <v>4</v>
      </c>
      <c r="E82" s="350" t="str">
        <f t="shared" si="75"/>
        <v/>
      </c>
      <c r="F82" s="350">
        <f t="shared" si="75"/>
        <v>2</v>
      </c>
      <c r="G82" s="350" t="str">
        <f t="shared" si="75"/>
        <v/>
      </c>
      <c r="H82" s="350">
        <f t="shared" si="75"/>
        <v>1</v>
      </c>
      <c r="I82" s="350" t="str">
        <f t="shared" si="75"/>
        <v/>
      </c>
      <c r="J82" s="350">
        <f t="shared" si="75"/>
        <v>5</v>
      </c>
      <c r="K82" s="350" t="str">
        <f t="shared" si="75"/>
        <v/>
      </c>
      <c r="L82" s="350">
        <f t="shared" si="75"/>
        <v>6</v>
      </c>
      <c r="M82" s="350" t="str">
        <f t="shared" si="75"/>
        <v/>
      </c>
      <c r="N82" s="351"/>
      <c r="O82" s="351"/>
      <c r="S82" s="13" t="s">
        <v>1789</v>
      </c>
      <c r="T82" s="5" t="s">
        <v>1790</v>
      </c>
      <c r="U82" s="369">
        <f>VLOOKUP($S62,Schlüssel!$A$5:$DG$10,103)</f>
        <v>4</v>
      </c>
      <c r="V82" s="370"/>
      <c r="W82" s="369">
        <f>VLOOKUP($S62,Schlüssel!$A$5:$EK$10,104)</f>
        <v>2</v>
      </c>
      <c r="X82" s="370"/>
      <c r="Y82" s="369">
        <f>VLOOKUP($S62,Schlüssel!$A$5:$EK$10,105)</f>
        <v>1</v>
      </c>
      <c r="Z82" s="370"/>
      <c r="AA82" s="369">
        <f>VLOOKUP($S62,Schlüssel!$A$5:$EK$10,106)</f>
        <v>5</v>
      </c>
      <c r="AB82" s="370"/>
      <c r="AC82" s="369">
        <f>VLOOKUP($S62,Schlüssel!$A$5:$EK$10,107)</f>
        <v>6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ref="B83:K84" si="76">IF(S83=0,"",S83)</f>
        <v/>
      </c>
      <c r="C83" s="1" t="str">
        <f t="shared" si="76"/>
        <v/>
      </c>
      <c r="D83" s="347" t="str">
        <f t="shared" si="76"/>
        <v>Kings Club Bayreuth Land 3</v>
      </c>
      <c r="E83" s="348" t="str">
        <f t="shared" si="76"/>
        <v/>
      </c>
      <c r="F83" s="347" t="str">
        <f t="shared" si="76"/>
        <v>Herzogenaurach 1</v>
      </c>
      <c r="G83" s="348" t="str">
        <f t="shared" si="76"/>
        <v/>
      </c>
      <c r="H83" s="347" t="str">
        <f t="shared" si="76"/>
        <v>Castra Regina Regensburg 3</v>
      </c>
      <c r="I83" s="348" t="str">
        <f t="shared" si="76"/>
        <v/>
      </c>
      <c r="J83" s="347" t="str">
        <f t="shared" si="76"/>
        <v>Castra Regina Regensburg 2</v>
      </c>
      <c r="K83" s="348" t="str">
        <f t="shared" si="76"/>
        <v/>
      </c>
      <c r="L83" s="347" t="str">
        <f>IF(AC83=0,"",AC83)</f>
        <v>Adler Nürnberg 1</v>
      </c>
      <c r="M83" s="348" t="str">
        <f>IF(AD83=0,"",AD83)</f>
        <v/>
      </c>
      <c r="N83" s="349"/>
      <c r="O83" s="349"/>
      <c r="S83" s="4"/>
      <c r="T83" s="1"/>
      <c r="U83" s="347" t="str">
        <f>VLOOKUP(U82,Schlüssel!$A$5:$K$10,2)</f>
        <v>Kings Club Bayreuth Land 3</v>
      </c>
      <c r="V83" s="348"/>
      <c r="W83" s="347" t="str">
        <f>VLOOKUP(W82,Schlüssel!$A$5:$K$10,2)</f>
        <v>Herzogenaurach 1</v>
      </c>
      <c r="X83" s="348"/>
      <c r="Y83" s="347" t="str">
        <f>VLOOKUP(Y82,Schlüssel!$A$5:$K$10,2)</f>
        <v>Castra Regina Regensburg 3</v>
      </c>
      <c r="Z83" s="348"/>
      <c r="AA83" s="347" t="str">
        <f>VLOOKUP(AA82,Schlüssel!$A$5:$K$10,2)</f>
        <v>Castra Regina Regensburg 2</v>
      </c>
      <c r="AB83" s="348"/>
      <c r="AC83" s="347" t="str">
        <f>VLOOKUP(AC82,Schlüssel!$A$5:$K$10,2)</f>
        <v>Adler Nürnberg 1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6"/>
        <v/>
      </c>
      <c r="C84" s="1" t="str">
        <f t="shared" si="76"/>
        <v/>
      </c>
      <c r="D84" s="346" t="str">
        <f t="shared" si="76"/>
        <v/>
      </c>
      <c r="E84" s="346" t="str">
        <f t="shared" si="76"/>
        <v/>
      </c>
      <c r="F84" s="346" t="str">
        <f t="shared" si="76"/>
        <v/>
      </c>
      <c r="G84" s="346" t="str">
        <f t="shared" si="76"/>
        <v/>
      </c>
      <c r="H84" s="346" t="str">
        <f t="shared" si="76"/>
        <v/>
      </c>
      <c r="I84" s="346" t="str">
        <f t="shared" si="76"/>
        <v/>
      </c>
      <c r="J84" s="346" t="str">
        <f t="shared" si="76"/>
        <v/>
      </c>
      <c r="K84" s="346" t="str">
        <f t="shared" si="76"/>
        <v/>
      </c>
      <c r="L84" s="346" t="str">
        <f>IF(AC84=0,"",AC84)</f>
        <v/>
      </c>
      <c r="M84" s="346" t="str">
        <f>IF(AD84=0,"",AD84)</f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ref="B85:C89" si="77">IF(S85=0,"",S85)</f>
        <v>Spieler 1</v>
      </c>
      <c r="C85" s="372" t="str">
        <f t="shared" si="77"/>
        <v/>
      </c>
      <c r="D85" s="344">
        <f>IF(U85=301,"",U85)</f>
        <v>0</v>
      </c>
      <c r="E85" s="344" t="str">
        <f>IF(V85=0,"",V85)</f>
        <v/>
      </c>
      <c r="F85" s="344">
        <f>IF(W85=301,"",W85)</f>
        <v>0</v>
      </c>
      <c r="G85" s="344" t="str">
        <f>IF(X85=0,"",X85)</f>
        <v/>
      </c>
      <c r="H85" s="344">
        <f>IF(Y85=301,"",Y85)</f>
        <v>0</v>
      </c>
      <c r="I85" s="344" t="str">
        <f>IF(Z85=0,"",Z85)</f>
        <v/>
      </c>
      <c r="J85" s="344">
        <f>IF(AA85=301,"",AA85)</f>
        <v>0</v>
      </c>
      <c r="K85" s="344" t="str">
        <f>IF(AB85=0,"",AB85)</f>
        <v/>
      </c>
      <c r="L85" s="344">
        <f>IF(AC85=301,"",AC85)</f>
        <v>0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0</v>
      </c>
      <c r="V85" s="368"/>
      <c r="W85" s="367">
        <f>ABS(INDEX(W:W,MATCH(W82,$S:$S,0)+5)+INDEX(W:W,MATCH(W82,$S:$S,0)+6)+INDEX(W:W,MATCH(W82,$S:$S,0)+7))</f>
        <v>0</v>
      </c>
      <c r="X85" s="368"/>
      <c r="Y85" s="367">
        <f>ABS(INDEX(Y:Y,MATCH(Y82,$S:$S,0)+5)+INDEX(Y:Y,MATCH(Y82,$S:$S,0)+6)+INDEX(Y:Y,MATCH(Y82,$S:$S,0)+7))</f>
        <v>0</v>
      </c>
      <c r="Z85" s="368"/>
      <c r="AA85" s="367">
        <f>ABS(INDEX(AA:AA,MATCH(AA82,$S:$S,0)+5)+INDEX(AA:AA,MATCH(AA82,$S:$S,0)+6)+INDEX(AA:AA,MATCH(AA82,$S:$S,0)+7))</f>
        <v>0</v>
      </c>
      <c r="AB85" s="368"/>
      <c r="AC85" s="367">
        <f>ABS(INDEX(AC:AC,MATCH(AC82,$S:$S,0)+5)+INDEX(AC:AC,MATCH(AC82,$S:$S,0)+6)+INDEX(AC:AC,MATCH(AC82,$S:$S,0)+7))</f>
        <v>0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7"/>
        <v>Spieler 2</v>
      </c>
      <c r="C86" s="372" t="str">
        <f t="shared" si="77"/>
        <v/>
      </c>
      <c r="D86" s="344">
        <f>IF(U86=301,"",U86)</f>
        <v>0</v>
      </c>
      <c r="E86" s="344" t="str">
        <f>IF(V86=0,"",V86)</f>
        <v/>
      </c>
      <c r="F86" s="344">
        <f>IF(W86=301,"",W86)</f>
        <v>0</v>
      </c>
      <c r="G86" s="344" t="str">
        <f>IF(X86=0,"",X86)</f>
        <v/>
      </c>
      <c r="H86" s="344">
        <f>IF(Y86=301,"",Y86)</f>
        <v>0</v>
      </c>
      <c r="I86" s="344" t="str">
        <f>IF(Z86=0,"",Z86)</f>
        <v/>
      </c>
      <c r="J86" s="344">
        <f>IF(AA86=301,"",AA86)</f>
        <v>0</v>
      </c>
      <c r="K86" s="344" t="str">
        <f>IF(AB86=0,"",AB86)</f>
        <v/>
      </c>
      <c r="L86" s="344">
        <f>IF(AC86=301,"",AC86)</f>
        <v>0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0</v>
      </c>
      <c r="V86" s="366"/>
      <c r="W86" s="365">
        <f>ABS(INDEX(W:W,MATCH(W82,$S:$S,0)+8)+INDEX(W:W,MATCH(W82,$S:$S,0)+9)+INDEX(W:W,MATCH(W82,$S:$S,0)+10))</f>
        <v>0</v>
      </c>
      <c r="X86" s="366"/>
      <c r="Y86" s="365">
        <f>ABS(INDEX(Y:Y,MATCH(Y82,$S:$S,0)+8)+INDEX(Y:Y,MATCH(Y82,$S:$S,0)+9)+INDEX(Y:Y,MATCH(Y82,$S:$S,0)+10))</f>
        <v>0</v>
      </c>
      <c r="Z86" s="366"/>
      <c r="AA86" s="365">
        <f>ABS(INDEX(AA:AA,MATCH(AA82,$S:$S,0)+8)+INDEX(AA:AA,MATCH(AA82,$S:$S,0)+9)+INDEX(AA:AA,MATCH(AA82,$S:$S,0)+10))</f>
        <v>0</v>
      </c>
      <c r="AB86" s="366"/>
      <c r="AC86" s="365">
        <f>ABS(INDEX(AC:AC,MATCH(AC82,$S:$S,0)+8)+INDEX(AC:AC,MATCH(AC82,$S:$S,0)+9)+INDEX(AC:AC,MATCH(AC82,$S:$S,0)+10))</f>
        <v>0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7"/>
        <v>Spieler 3</v>
      </c>
      <c r="C87" s="372" t="str">
        <f t="shared" si="77"/>
        <v/>
      </c>
      <c r="D87" s="344">
        <f>IF(U87=301,"",U87)</f>
        <v>0</v>
      </c>
      <c r="E87" s="344" t="str">
        <f>IF(V87=0,"",V87)</f>
        <v/>
      </c>
      <c r="F87" s="344">
        <f>IF(W87=301,"",W87)</f>
        <v>0</v>
      </c>
      <c r="G87" s="344" t="str">
        <f>IF(X87=0,"",X87)</f>
        <v/>
      </c>
      <c r="H87" s="344">
        <f>IF(Y87=301,"",Y87)</f>
        <v>0</v>
      </c>
      <c r="I87" s="344" t="str">
        <f>IF(Z87=0,"",Z87)</f>
        <v/>
      </c>
      <c r="J87" s="344">
        <f>IF(AA87=301,"",AA87)</f>
        <v>0</v>
      </c>
      <c r="K87" s="344" t="str">
        <f>IF(AB87=0,"",AB87)</f>
        <v/>
      </c>
      <c r="L87" s="344">
        <f>IF(AC87=301,"",AC87)</f>
        <v>0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0</v>
      </c>
      <c r="V87" s="366"/>
      <c r="W87" s="365">
        <f>ABS(INDEX(W:W,MATCH(W82,$S:$S,0)+11)+INDEX(W:W,MATCH(W82,$S:$S,0)+12)+INDEX(W:W,MATCH(W82,$S:$S,0)+13))</f>
        <v>0</v>
      </c>
      <c r="X87" s="366"/>
      <c r="Y87" s="365">
        <f>ABS(INDEX(Y:Y,MATCH(Y82,$S:$S,0)+11)+INDEX(Y:Y,MATCH(Y82,$S:$S,0)+12)+INDEX(Y:Y,MATCH(Y82,$S:$S,0)+13))</f>
        <v>0</v>
      </c>
      <c r="Z87" s="366"/>
      <c r="AA87" s="365">
        <f>ABS(INDEX(AA:AA,MATCH(AA82,$S:$S,0)+11)+INDEX(AA:AA,MATCH(AA82,$S:$S,0)+12)+INDEX(AA:AA,MATCH(AA82,$S:$S,0)+13))</f>
        <v>0</v>
      </c>
      <c r="AB87" s="366"/>
      <c r="AC87" s="365">
        <f>ABS(INDEX(AC:AC,MATCH(AC82,$S:$S,0)+11)+INDEX(AC:AC,MATCH(AC82,$S:$S,0)+12)+INDEX(AC:AC,MATCH(AC82,$S:$S,0)+13))</f>
        <v>0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7"/>
        <v>Spieler 4</v>
      </c>
      <c r="C88" s="372" t="str">
        <f t="shared" si="77"/>
        <v/>
      </c>
      <c r="D88" s="344">
        <f>IF(U88=301,"",U88)</f>
        <v>0</v>
      </c>
      <c r="E88" s="344" t="str">
        <f>IF(V88=0,"",V88)</f>
        <v/>
      </c>
      <c r="F88" s="344">
        <f>IF(W88=301,"",W88)</f>
        <v>0</v>
      </c>
      <c r="G88" s="344" t="str">
        <f>IF(X88=0,"",X88)</f>
        <v/>
      </c>
      <c r="H88" s="344">
        <f>IF(Y88=301,"",Y88)</f>
        <v>0</v>
      </c>
      <c r="I88" s="344" t="str">
        <f>IF(Z88=0,"",Z88)</f>
        <v/>
      </c>
      <c r="J88" s="344">
        <f>IF(AA88=301,"",AA88)</f>
        <v>0</v>
      </c>
      <c r="K88" s="344" t="str">
        <f>IF(AB88=0,"",AB88)</f>
        <v/>
      </c>
      <c r="L88" s="344">
        <f>IF(AC88=301,"",AC88)</f>
        <v>0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0</v>
      </c>
      <c r="V88" s="366"/>
      <c r="W88" s="365">
        <f>ABS(INDEX(W:W,MATCH(W82,$S:$S,0)+14)+INDEX(W:W,MATCH(W82,$S:$S,0)+15)+INDEX(W:W,MATCH(W82,$S:$S,0)+16))</f>
        <v>0</v>
      </c>
      <c r="X88" s="366"/>
      <c r="Y88" s="365">
        <f>ABS(INDEX(Y:Y,MATCH(Y82,$S:$S,0)+14)+INDEX(Y:Y,MATCH(Y82,$S:$S,0)+15)+INDEX(Y:Y,MATCH(Y82,$S:$S,0)+16))</f>
        <v>0</v>
      </c>
      <c r="Z88" s="366"/>
      <c r="AA88" s="365">
        <f>ABS(INDEX(AA:AA,MATCH(AA82,$S:$S,0)+14)+INDEX(AA:AA,MATCH(AA82,$S:$S,0)+15)+INDEX(AA:AA,MATCH(AA82,$S:$S,0)+16))</f>
        <v>0</v>
      </c>
      <c r="AB88" s="366"/>
      <c r="AC88" s="365">
        <f>ABS(INDEX(AC:AC,MATCH(AC82,$S:$S,0)+14)+INDEX(AC:AC,MATCH(AC82,$S:$S,0)+15)+INDEX(AC:AC,MATCH(AC82,$S:$S,0)+16))</f>
        <v>0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7"/>
        <v>Gesamt</v>
      </c>
      <c r="C89" s="360" t="str">
        <f t="shared" si="77"/>
        <v/>
      </c>
      <c r="D89" s="343">
        <f>IF(U89=1505,"",U89)</f>
        <v>0</v>
      </c>
      <c r="E89" s="343" t="str">
        <f>IF(V89=0,"",V89)</f>
        <v/>
      </c>
      <c r="F89" s="343">
        <f>IF(W89=1505,"",W89)</f>
        <v>0</v>
      </c>
      <c r="G89" s="343" t="str">
        <f>IF(X89=0,"",X89)</f>
        <v/>
      </c>
      <c r="H89" s="343">
        <f>IF(Y89=1505,"",Y89)</f>
        <v>0</v>
      </c>
      <c r="I89" s="343" t="str">
        <f>IF(Z89=0,"",Z89)</f>
        <v/>
      </c>
      <c r="J89" s="343">
        <f>IF(AA89=1505,"",AA89)</f>
        <v>0</v>
      </c>
      <c r="K89" s="343" t="str">
        <f>IF(AB89=0,"",AB89)</f>
        <v/>
      </c>
      <c r="L89" s="343">
        <f>IF(AC89=1505,"",AC89)</f>
        <v>0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0</v>
      </c>
      <c r="V89" s="360"/>
      <c r="W89" s="359">
        <f>SUM(W85:W88)</f>
        <v>0</v>
      </c>
      <c r="X89" s="360"/>
      <c r="Y89" s="359">
        <f>SUM(Y85:Y88)</f>
        <v>0</v>
      </c>
      <c r="Z89" s="360"/>
      <c r="AA89" s="359">
        <f>SUM(AA85:AA88)</f>
        <v>0</v>
      </c>
      <c r="AB89" s="360"/>
      <c r="AC89" s="359">
        <f>SUM(AC85:AC88)</f>
        <v>0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 t="str">
        <f>AD91</f>
        <v>27.04.</v>
      </c>
      <c r="N91" s="376"/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Schlüssel!$DI$1</f>
        <v>27.04.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">
        <v>1786</v>
      </c>
      <c r="E92" s="84" t="str">
        <f>V92</f>
        <v>Regensburg Super Bowl</v>
      </c>
      <c r="F92" s="77"/>
      <c r="G92" s="77"/>
      <c r="H92" s="77"/>
      <c r="I92" s="77"/>
      <c r="J92" s="77"/>
      <c r="K92" s="77"/>
      <c r="L92" s="29" t="str">
        <f>AC92</f>
        <v>Spieltag:</v>
      </c>
      <c r="M92" s="86">
        <f>AD92</f>
        <v>6</v>
      </c>
      <c r="N92" s="28"/>
      <c r="R92" s="49"/>
      <c r="S92" s="50">
        <v>4</v>
      </c>
      <c r="U92" s="30" t="s">
        <v>1786</v>
      </c>
      <c r="V92" s="84" t="str">
        <f>Schlüssel!$CY$2</f>
        <v>Regensburg Super Bowl</v>
      </c>
      <c r="X92" s="77"/>
      <c r="Y92" s="77"/>
      <c r="Z92" s="77"/>
      <c r="AA92" s="77"/>
      <c r="AB92" s="77"/>
      <c r="AC92" s="29" t="s">
        <v>1784</v>
      </c>
      <c r="AD92" s="34">
        <v>6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VLOOKUP(S92,Schlüssel!$A$5:$DZ$10,113)</f>
        <v>12</v>
      </c>
      <c r="W94" s="193" t="s">
        <v>10</v>
      </c>
      <c r="X94" s="191">
        <f>VLOOKUP(S92,Schlüssel!$A$5:$DZ$10,114)</f>
        <v>16</v>
      </c>
      <c r="Y94" s="193" t="s">
        <v>10</v>
      </c>
      <c r="Z94" s="191">
        <f>VLOOKUP(S92,Schlüssel!$A$5:$DZ$10,115)</f>
        <v>14</v>
      </c>
      <c r="AA94" s="193" t="s">
        <v>10</v>
      </c>
      <c r="AB94" s="191">
        <f>VLOOKUP(S92,Schlüssel!$A$5:$DZ$10,116)</f>
        <v>11</v>
      </c>
      <c r="AC94" s="193" t="s">
        <v>10</v>
      </c>
      <c r="AD94" s="192">
        <f>VLOOKUP(S92,Schlüssel!$A$5:$DZ$10,117)</f>
        <v>13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/>
      </c>
      <c r="C97" s="18" t="str">
        <f>IF(T97=0,"",T97)</f>
        <v/>
      </c>
      <c r="D97" s="14" t="str">
        <f>IF(U97=0,"",U97)</f>
        <v/>
      </c>
      <c r="E97" s="352">
        <f>IF(V97="","",V97)</f>
        <v>0</v>
      </c>
      <c r="F97" s="14" t="str">
        <f t="shared" ref="F97:F110" si="78">IF(W97=0,"",W97)</f>
        <v/>
      </c>
      <c r="G97" s="352">
        <f>IF(X97="","",X97)</f>
        <v>0</v>
      </c>
      <c r="H97" s="14" t="str">
        <f t="shared" ref="H97:H110" si="79">IF(Y97=0,"",Y97)</f>
        <v/>
      </c>
      <c r="I97" s="352">
        <f>IF(Z97="","",Z97)</f>
        <v>0</v>
      </c>
      <c r="J97" s="14" t="str">
        <f t="shared" ref="J97:J110" si="80">IF(AA97=0,"",AA97)</f>
        <v/>
      </c>
      <c r="K97" s="352">
        <f>IF(AB97="","",AB97)</f>
        <v>0</v>
      </c>
      <c r="L97" s="14" t="str">
        <f t="shared" ref="L97:L110" si="81">IF(AC97=0,"",AC97)</f>
        <v/>
      </c>
      <c r="M97" s="352">
        <f>IF(AD97="","",AD97)</f>
        <v>0</v>
      </c>
      <c r="N97" s="14" t="str">
        <f t="shared" ref="N97:N110" si="82">IF(AE97=0,"",AE97)</f>
        <v/>
      </c>
      <c r="O97" s="352">
        <f>IF(AF97="","",AF97)</f>
        <v>0</v>
      </c>
      <c r="R97" s="355" t="s">
        <v>0</v>
      </c>
      <c r="S97" s="68" t="str">
        <f>IF(T97=0,"",VLOOKUP(T97,Starter!$A$1:$D$196,2,FALSE))</f>
        <v/>
      </c>
      <c r="T97" s="175"/>
      <c r="U97" s="183"/>
      <c r="V97" s="95">
        <f>IF(SUM(U97:U99)+U115=0,0,IF(ABS(SUM(U97:U99))=U115,0.5,IF(ABS(SUM(U97:U99))&gt;U115,1,0)))</f>
        <v>0</v>
      </c>
      <c r="W97" s="183"/>
      <c r="X97" s="95">
        <f>IF(SUM(W97:W99)+W115=0,0,IF(ABS(SUM(W97:W99))=W115,0.5,IF(ABS(SUM(W97:W99))&gt;W115,1,0)))</f>
        <v>0</v>
      </c>
      <c r="Y97" s="183"/>
      <c r="Z97" s="95">
        <f>IF(SUM(Y97:Y99)+Y115=0,0,IF(ABS(SUM(Y97:Y99))=Y115,0.5,IF(ABS(SUM(Y97:Y99))&gt;Y115,1,0)))</f>
        <v>0</v>
      </c>
      <c r="AA97" s="189"/>
      <c r="AB97" s="95">
        <f>IF(SUM(AA97:AA99)+AA115=0,0,IF(ABS(SUM(AA97:AA99))=AA115,0.5,IF(ABS(SUM(AA97:AA99))&gt;AA115,1,0)))</f>
        <v>0</v>
      </c>
      <c r="AC97" s="183"/>
      <c r="AD97" s="95">
        <f>IF(SUM(AC97:AC99)+AC115=0,0,IF(ABS(SUM(AC97:AC99))=AC115,0.5,IF(ABS(SUM(AC97:AC99))&gt;AC115,1,0)))</f>
        <v>0</v>
      </c>
      <c r="AE97" s="195">
        <f t="shared" ref="AE97:AE108" si="83">ABS(SUM(U97:U97))+ABS(SUM(W97:W97))+ABS(SUM(Y97:Y97))+ABS(SUM(AA97:AA97))+ABS(SUM(AC97:AC97))</f>
        <v>0</v>
      </c>
      <c r="AF97" s="180">
        <f>SUM(V97+X97+Z97+AB97+AD97)</f>
        <v>0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4">T97</f>
        <v>0</v>
      </c>
      <c r="BE97" s="213">
        <f t="shared" ref="BE97:BE108" si="85">AE97</f>
        <v>0</v>
      </c>
      <c r="BF97" s="215">
        <f t="shared" ref="BF97:BF108" si="86">COUNT(BH97:BL97)</f>
        <v>0</v>
      </c>
      <c r="BG97" s="215">
        <f t="shared" ref="BG97:BG108" si="87">COUNTIF(BH97:BL97,"&gt;0")</f>
        <v>0</v>
      </c>
      <c r="BH97" s="215" t="str">
        <f t="shared" ref="BH97:BH108" si="88">IF(U97=0,"",U97)</f>
        <v/>
      </c>
      <c r="BI97" s="215" t="str">
        <f t="shared" ref="BI97:BI108" si="89">IF(W97=0,"",W97)</f>
        <v/>
      </c>
      <c r="BJ97" s="215" t="str">
        <f t="shared" ref="BJ97:BJ108" si="90">IF(Y97=0,"",Y97)</f>
        <v/>
      </c>
      <c r="BK97" s="215" t="str">
        <f t="shared" ref="BK97:BK108" si="91">IF(AA97=0,"",AA97)</f>
        <v/>
      </c>
      <c r="BL97" s="215" t="str">
        <f t="shared" ref="BL97:BL108" si="92">IF(AC97=0,"",AC97)</f>
        <v/>
      </c>
      <c r="BM97" s="216"/>
      <c r="BN97" s="214"/>
      <c r="BO97" s="215">
        <f t="shared" ref="BO97:BO108" si="93">MAX(BH97:BL97)</f>
        <v>0</v>
      </c>
      <c r="BP97" s="215">
        <f t="shared" ref="BP97:BP108" si="94">IF(BO97&lt;MAX(BO:BO),0,BO97+ROW()/1000000000)</f>
        <v>9.6999999999999995E-8</v>
      </c>
      <c r="BQ97" s="215" t="str">
        <f>+S93</f>
        <v>Kings Club Bayreuth Land 3</v>
      </c>
      <c r="BR97" s="214">
        <f t="shared" ref="BR97:BR108" si="95">RANK(BP97,BP:BP)</f>
        <v>36</v>
      </c>
      <c r="BS97" s="215">
        <f t="shared" ref="BS97:BS108" si="96">SUMIF(BH97:BL97,"&gt;0")</f>
        <v>0</v>
      </c>
      <c r="BT97" s="215">
        <f>IF(COUNTIF(BH97:BL97,"&gt;0")&lt;Spielorte!$A$23,0,BE97/Spielorte!$A$23)</f>
        <v>0</v>
      </c>
      <c r="BU97" s="215">
        <f t="shared" ref="BU97:BU108" si="97">IF(BT97&lt;MAX(BT:BT),0,BT97+ROW()/1000000000)</f>
        <v>9.6999999999999995E-8</v>
      </c>
      <c r="BV97" s="214">
        <f t="shared" ref="BV97:BV108" si="98">IF(BU97=0,0,RANK(BU97,BU:BU))</f>
        <v>36</v>
      </c>
    </row>
    <row r="98" spans="1:74" ht="17.100000000000001" customHeight="1" x14ac:dyDescent="0.2">
      <c r="A98" s="374"/>
      <c r="B98" s="19" t="str">
        <f t="shared" ref="B98:D110" si="99">IF(S98=0,"",S98)</f>
        <v/>
      </c>
      <c r="C98" s="20" t="str">
        <f t="shared" si="99"/>
        <v/>
      </c>
      <c r="D98" s="15" t="str">
        <f t="shared" si="99"/>
        <v/>
      </c>
      <c r="E98" s="353"/>
      <c r="F98" s="15" t="str">
        <f t="shared" si="78"/>
        <v/>
      </c>
      <c r="G98" s="353"/>
      <c r="H98" s="15" t="str">
        <f t="shared" si="79"/>
        <v/>
      </c>
      <c r="I98" s="353"/>
      <c r="J98" s="15" t="str">
        <f t="shared" si="80"/>
        <v/>
      </c>
      <c r="K98" s="353"/>
      <c r="L98" s="15" t="str">
        <f t="shared" si="81"/>
        <v/>
      </c>
      <c r="M98" s="353"/>
      <c r="N98" s="15" t="str">
        <f t="shared" si="82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3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4"/>
        <v>0</v>
      </c>
      <c r="BE98" s="213">
        <f t="shared" si="85"/>
        <v>0</v>
      </c>
      <c r="BF98" s="215">
        <f t="shared" si="86"/>
        <v>0</v>
      </c>
      <c r="BG98" s="215">
        <f t="shared" si="87"/>
        <v>0</v>
      </c>
      <c r="BH98" s="215" t="str">
        <f t="shared" si="88"/>
        <v/>
      </c>
      <c r="BI98" s="215" t="str">
        <f t="shared" si="89"/>
        <v/>
      </c>
      <c r="BJ98" s="215" t="str">
        <f t="shared" si="90"/>
        <v/>
      </c>
      <c r="BK98" s="215" t="str">
        <f t="shared" si="91"/>
        <v/>
      </c>
      <c r="BL98" s="215" t="str">
        <f t="shared" si="92"/>
        <v/>
      </c>
      <c r="BM98" s="216"/>
      <c r="BN98" s="214"/>
      <c r="BO98" s="215">
        <f t="shared" si="93"/>
        <v>0</v>
      </c>
      <c r="BP98" s="215">
        <f t="shared" si="94"/>
        <v>9.8000000000000004E-8</v>
      </c>
      <c r="BQ98" s="215" t="str">
        <f t="shared" ref="BQ98:BQ108" si="100">+BQ97</f>
        <v>Kings Club Bayreuth Land 3</v>
      </c>
      <c r="BR98" s="214">
        <f t="shared" si="95"/>
        <v>35</v>
      </c>
      <c r="BS98" s="215">
        <f t="shared" si="96"/>
        <v>0</v>
      </c>
      <c r="BT98" s="215">
        <f>IF(COUNTIF(BH98:BL98,"&gt;0")&lt;Spielorte!$A$23,0,BE98/Spielorte!$A$23)</f>
        <v>0</v>
      </c>
      <c r="BU98" s="215">
        <f t="shared" si="97"/>
        <v>9.8000000000000004E-8</v>
      </c>
      <c r="BV98" s="214">
        <f t="shared" si="98"/>
        <v>35</v>
      </c>
    </row>
    <row r="99" spans="1:74" ht="17.100000000000001" customHeight="1" thickBot="1" x14ac:dyDescent="0.25">
      <c r="A99" s="375"/>
      <c r="B99" s="21" t="str">
        <f t="shared" si="99"/>
        <v/>
      </c>
      <c r="C99" s="22" t="str">
        <f t="shared" si="99"/>
        <v/>
      </c>
      <c r="D99" s="9" t="str">
        <f t="shared" si="99"/>
        <v/>
      </c>
      <c r="E99" s="354"/>
      <c r="F99" s="9" t="str">
        <f t="shared" si="78"/>
        <v/>
      </c>
      <c r="G99" s="354"/>
      <c r="H99" s="9" t="str">
        <f t="shared" si="79"/>
        <v/>
      </c>
      <c r="I99" s="354"/>
      <c r="J99" s="9" t="str">
        <f t="shared" si="80"/>
        <v/>
      </c>
      <c r="K99" s="354"/>
      <c r="L99" s="9" t="str">
        <f t="shared" si="81"/>
        <v/>
      </c>
      <c r="M99" s="354"/>
      <c r="N99" s="9" t="str">
        <f t="shared" si="82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3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4"/>
        <v>0</v>
      </c>
      <c r="BE99" s="213">
        <f t="shared" si="85"/>
        <v>0</v>
      </c>
      <c r="BF99" s="215">
        <f t="shared" si="86"/>
        <v>0</v>
      </c>
      <c r="BG99" s="215">
        <f t="shared" si="87"/>
        <v>0</v>
      </c>
      <c r="BH99" s="215" t="str">
        <f t="shared" si="88"/>
        <v/>
      </c>
      <c r="BI99" s="215" t="str">
        <f t="shared" si="89"/>
        <v/>
      </c>
      <c r="BJ99" s="215" t="str">
        <f t="shared" si="90"/>
        <v/>
      </c>
      <c r="BK99" s="215" t="str">
        <f t="shared" si="91"/>
        <v/>
      </c>
      <c r="BL99" s="215" t="str">
        <f t="shared" si="92"/>
        <v/>
      </c>
      <c r="BM99" s="216"/>
      <c r="BN99" s="214"/>
      <c r="BO99" s="215">
        <f t="shared" si="93"/>
        <v>0</v>
      </c>
      <c r="BP99" s="215">
        <f t="shared" si="94"/>
        <v>9.9E-8</v>
      </c>
      <c r="BQ99" s="215" t="str">
        <f t="shared" si="100"/>
        <v>Kings Club Bayreuth Land 3</v>
      </c>
      <c r="BR99" s="214">
        <f t="shared" si="95"/>
        <v>34</v>
      </c>
      <c r="BS99" s="215">
        <f t="shared" si="96"/>
        <v>0</v>
      </c>
      <c r="BT99" s="215">
        <f>IF(COUNTIF(BH99:BL99,"&gt;0")&lt;Spielorte!$A$23,0,BE99/Spielorte!$A$23)</f>
        <v>0</v>
      </c>
      <c r="BU99" s="215">
        <f t="shared" si="97"/>
        <v>9.9E-8</v>
      </c>
      <c r="BV99" s="214">
        <f t="shared" si="98"/>
        <v>34</v>
      </c>
    </row>
    <row r="100" spans="1:74" ht="17.100000000000001" customHeight="1" x14ac:dyDescent="0.2">
      <c r="A100" s="373" t="s">
        <v>2</v>
      </c>
      <c r="B100" s="17" t="str">
        <f t="shared" si="99"/>
        <v/>
      </c>
      <c r="C100" s="18" t="str">
        <f t="shared" si="99"/>
        <v/>
      </c>
      <c r="D100" s="14" t="str">
        <f t="shared" si="99"/>
        <v/>
      </c>
      <c r="E100" s="352">
        <f>IF(V100="","",V100)</f>
        <v>0</v>
      </c>
      <c r="F100" s="14" t="str">
        <f t="shared" si="78"/>
        <v/>
      </c>
      <c r="G100" s="352">
        <f>IF(X100="","",X100)</f>
        <v>0</v>
      </c>
      <c r="H100" s="14" t="str">
        <f t="shared" si="79"/>
        <v/>
      </c>
      <c r="I100" s="352">
        <f>IF(Z100="","",Z100)</f>
        <v>0</v>
      </c>
      <c r="J100" s="14" t="str">
        <f t="shared" si="80"/>
        <v/>
      </c>
      <c r="K100" s="352">
        <f>IF(AB100="","",AB100)</f>
        <v>0</v>
      </c>
      <c r="L100" s="14" t="str">
        <f t="shared" si="81"/>
        <v/>
      </c>
      <c r="M100" s="352">
        <f>IF(AD100="","",AD100)</f>
        <v>0</v>
      </c>
      <c r="N100" s="14" t="str">
        <f t="shared" si="82"/>
        <v/>
      </c>
      <c r="O100" s="352">
        <f>IF(AF100="","",AF100)</f>
        <v>0</v>
      </c>
      <c r="R100" s="355" t="s">
        <v>2</v>
      </c>
      <c r="S100" s="68" t="str">
        <f>IF(T100=0,"",VLOOKUP(T100,Starter!$A$1:$D$196,2,FALSE))</f>
        <v/>
      </c>
      <c r="T100" s="178"/>
      <c r="U100" s="186"/>
      <c r="V100" s="95">
        <f>IF(SUM(U100:U102)+U116=0,0,IF(ABS(SUM(U100:U102))=U116,0.5,IF(ABS(SUM(U100:U102))&gt;U116,1,0)))</f>
        <v>0</v>
      </c>
      <c r="W100" s="186"/>
      <c r="X100" s="95">
        <f>IF(SUM(W100:W102)+W116=0,0,IF(ABS(SUM(W100:W102))=W116,0.5,IF(ABS(SUM(W100:W102))&gt;W116,1,0)))</f>
        <v>0</v>
      </c>
      <c r="Y100" s="186"/>
      <c r="Z100" s="95">
        <f>IF(SUM(Y100:Y102)+Y116=0,0,IF(ABS(SUM(Y100:Y102))=Y116,0.5,IF(ABS(SUM(Y100:Y102))&gt;Y116,1,0)))</f>
        <v>0</v>
      </c>
      <c r="AA100" s="186"/>
      <c r="AB100" s="95">
        <f>IF(SUM(AA100:AA102)+AA116=0,0,IF(ABS(SUM(AA100:AA102))=AA116,0.5,IF(ABS(SUM(AA100:AA102))&gt;AA116,1,0)))</f>
        <v>0</v>
      </c>
      <c r="AC100" s="186"/>
      <c r="AD100" s="95">
        <f>IF(SUM(AC100:AC102)+AC116=0,0,IF(ABS(SUM(AC100:AC102))=AC116,0.5,IF(ABS(SUM(AC100:AC102))&gt;AC116,1,0)))</f>
        <v>0</v>
      </c>
      <c r="AE100" s="195">
        <f t="shared" si="83"/>
        <v>0</v>
      </c>
      <c r="AF100" s="180">
        <f>SUM(V100+X100+Z100+AB100+AD100)</f>
        <v>0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4"/>
        <v>0</v>
      </c>
      <c r="BE100" s="213">
        <f t="shared" si="85"/>
        <v>0</v>
      </c>
      <c r="BF100" s="215">
        <f t="shared" si="86"/>
        <v>0</v>
      </c>
      <c r="BG100" s="215">
        <f t="shared" si="87"/>
        <v>0</v>
      </c>
      <c r="BH100" s="215" t="str">
        <f t="shared" si="88"/>
        <v/>
      </c>
      <c r="BI100" s="215" t="str">
        <f t="shared" si="89"/>
        <v/>
      </c>
      <c r="BJ100" s="215" t="str">
        <f t="shared" si="90"/>
        <v/>
      </c>
      <c r="BK100" s="215" t="str">
        <f t="shared" si="91"/>
        <v/>
      </c>
      <c r="BL100" s="215" t="str">
        <f t="shared" si="92"/>
        <v/>
      </c>
      <c r="BM100" s="216"/>
      <c r="BN100" s="214"/>
      <c r="BO100" s="215">
        <f t="shared" si="93"/>
        <v>0</v>
      </c>
      <c r="BP100" s="215">
        <f t="shared" si="94"/>
        <v>9.9999999999999995E-8</v>
      </c>
      <c r="BQ100" s="215" t="str">
        <f t="shared" si="100"/>
        <v>Kings Club Bayreuth Land 3</v>
      </c>
      <c r="BR100" s="214">
        <f t="shared" si="95"/>
        <v>33</v>
      </c>
      <c r="BS100" s="215">
        <f t="shared" si="96"/>
        <v>0</v>
      </c>
      <c r="BT100" s="215">
        <f>IF(COUNTIF(BH100:BL100,"&gt;0")&lt;Spielorte!$A$23,0,BE100/Spielorte!$A$23)</f>
        <v>0</v>
      </c>
      <c r="BU100" s="215">
        <f t="shared" si="97"/>
        <v>9.9999999999999995E-8</v>
      </c>
      <c r="BV100" s="214">
        <f t="shared" si="98"/>
        <v>33</v>
      </c>
    </row>
    <row r="101" spans="1:74" ht="17.100000000000001" customHeight="1" x14ac:dyDescent="0.2">
      <c r="A101" s="374"/>
      <c r="B101" s="19" t="str">
        <f t="shared" si="99"/>
        <v/>
      </c>
      <c r="C101" s="20" t="str">
        <f t="shared" si="99"/>
        <v/>
      </c>
      <c r="D101" s="15" t="str">
        <f t="shared" si="99"/>
        <v/>
      </c>
      <c r="E101" s="353"/>
      <c r="F101" s="15" t="str">
        <f t="shared" si="78"/>
        <v/>
      </c>
      <c r="G101" s="353"/>
      <c r="H101" s="15" t="str">
        <f t="shared" si="79"/>
        <v/>
      </c>
      <c r="I101" s="353"/>
      <c r="J101" s="15" t="str">
        <f t="shared" si="80"/>
        <v/>
      </c>
      <c r="K101" s="353"/>
      <c r="L101" s="15" t="str">
        <f t="shared" si="81"/>
        <v/>
      </c>
      <c r="M101" s="353"/>
      <c r="N101" s="15" t="str">
        <f t="shared" si="82"/>
        <v/>
      </c>
      <c r="O101" s="353"/>
      <c r="R101" s="356"/>
      <c r="S101" s="68" t="str">
        <f>IF(T101=0,"",VLOOKUP(T101,Starter!$A$1:$D$196,2,FALSE))</f>
        <v/>
      </c>
      <c r="T101" s="176"/>
      <c r="U101" s="184"/>
      <c r="V101" s="96"/>
      <c r="W101" s="184"/>
      <c r="X101" s="96"/>
      <c r="Y101" s="184"/>
      <c r="Z101" s="96"/>
      <c r="AA101" s="184"/>
      <c r="AB101" s="96"/>
      <c r="AC101" s="184"/>
      <c r="AD101" s="96"/>
      <c r="AE101" s="196">
        <f t="shared" si="83"/>
        <v>0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4"/>
        <v>0</v>
      </c>
      <c r="BE101" s="213">
        <f t="shared" si="85"/>
        <v>0</v>
      </c>
      <c r="BF101" s="215">
        <f t="shared" si="86"/>
        <v>0</v>
      </c>
      <c r="BG101" s="215">
        <f t="shared" si="87"/>
        <v>0</v>
      </c>
      <c r="BH101" s="215" t="str">
        <f t="shared" si="88"/>
        <v/>
      </c>
      <c r="BI101" s="215" t="str">
        <f t="shared" si="89"/>
        <v/>
      </c>
      <c r="BJ101" s="215" t="str">
        <f t="shared" si="90"/>
        <v/>
      </c>
      <c r="BK101" s="215" t="str">
        <f t="shared" si="91"/>
        <v/>
      </c>
      <c r="BL101" s="215" t="str">
        <f t="shared" si="92"/>
        <v/>
      </c>
      <c r="BM101" s="216"/>
      <c r="BN101" s="214"/>
      <c r="BO101" s="215">
        <f t="shared" si="93"/>
        <v>0</v>
      </c>
      <c r="BP101" s="215">
        <f t="shared" si="94"/>
        <v>1.01E-7</v>
      </c>
      <c r="BQ101" s="215" t="str">
        <f t="shared" si="100"/>
        <v>Kings Club Bayreuth Land 3</v>
      </c>
      <c r="BR101" s="214">
        <f t="shared" si="95"/>
        <v>32</v>
      </c>
      <c r="BS101" s="215">
        <f t="shared" si="96"/>
        <v>0</v>
      </c>
      <c r="BT101" s="215">
        <f>IF(COUNTIF(BH101:BL101,"&gt;0")&lt;Spielorte!$A$23,0,BE101/Spielorte!$A$23)</f>
        <v>0</v>
      </c>
      <c r="BU101" s="215">
        <f t="shared" si="97"/>
        <v>1.01E-7</v>
      </c>
      <c r="BV101" s="214">
        <f t="shared" si="98"/>
        <v>32</v>
      </c>
    </row>
    <row r="102" spans="1:74" ht="17.100000000000001" customHeight="1" thickBot="1" x14ac:dyDescent="0.25">
      <c r="A102" s="375"/>
      <c r="B102" s="21" t="str">
        <f t="shared" si="99"/>
        <v/>
      </c>
      <c r="C102" s="22" t="str">
        <f t="shared" si="99"/>
        <v/>
      </c>
      <c r="D102" s="9" t="str">
        <f t="shared" si="99"/>
        <v/>
      </c>
      <c r="E102" s="354"/>
      <c r="F102" s="9" t="str">
        <f t="shared" si="78"/>
        <v/>
      </c>
      <c r="G102" s="354"/>
      <c r="H102" s="9" t="str">
        <f t="shared" si="79"/>
        <v/>
      </c>
      <c r="I102" s="354"/>
      <c r="J102" s="9" t="str">
        <f t="shared" si="80"/>
        <v/>
      </c>
      <c r="K102" s="354"/>
      <c r="L102" s="9" t="str">
        <f t="shared" si="81"/>
        <v/>
      </c>
      <c r="M102" s="354"/>
      <c r="N102" s="9" t="str">
        <f t="shared" si="82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3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4"/>
        <v>0</v>
      </c>
      <c r="BE102" s="213">
        <f t="shared" si="85"/>
        <v>0</v>
      </c>
      <c r="BF102" s="215">
        <f t="shared" si="86"/>
        <v>0</v>
      </c>
      <c r="BG102" s="215">
        <f t="shared" si="87"/>
        <v>0</v>
      </c>
      <c r="BH102" s="215" t="str">
        <f t="shared" si="88"/>
        <v/>
      </c>
      <c r="BI102" s="215" t="str">
        <f t="shared" si="89"/>
        <v/>
      </c>
      <c r="BJ102" s="215" t="str">
        <f t="shared" si="90"/>
        <v/>
      </c>
      <c r="BK102" s="215" t="str">
        <f t="shared" si="91"/>
        <v/>
      </c>
      <c r="BL102" s="215" t="str">
        <f t="shared" si="92"/>
        <v/>
      </c>
      <c r="BM102" s="216"/>
      <c r="BN102" s="214"/>
      <c r="BO102" s="215">
        <f t="shared" si="93"/>
        <v>0</v>
      </c>
      <c r="BP102" s="215">
        <f t="shared" si="94"/>
        <v>1.02E-7</v>
      </c>
      <c r="BQ102" s="215" t="str">
        <f t="shared" si="100"/>
        <v>Kings Club Bayreuth Land 3</v>
      </c>
      <c r="BR102" s="214">
        <f t="shared" si="95"/>
        <v>31</v>
      </c>
      <c r="BS102" s="215">
        <f t="shared" si="96"/>
        <v>0</v>
      </c>
      <c r="BT102" s="215">
        <f>IF(COUNTIF(BH102:BL102,"&gt;0")&lt;Spielorte!$A$23,0,BE102/Spielorte!$A$23)</f>
        <v>0</v>
      </c>
      <c r="BU102" s="215">
        <f t="shared" si="97"/>
        <v>1.02E-7</v>
      </c>
      <c r="BV102" s="214">
        <f t="shared" si="98"/>
        <v>31</v>
      </c>
    </row>
    <row r="103" spans="1:74" ht="17.100000000000001" customHeight="1" x14ac:dyDescent="0.2">
      <c r="A103" s="373" t="s">
        <v>3</v>
      </c>
      <c r="B103" s="17" t="str">
        <f t="shared" si="99"/>
        <v/>
      </c>
      <c r="C103" s="18" t="str">
        <f t="shared" si="99"/>
        <v/>
      </c>
      <c r="D103" s="14" t="str">
        <f t="shared" si="99"/>
        <v/>
      </c>
      <c r="E103" s="352">
        <f>IF(V103="","",V103)</f>
        <v>0</v>
      </c>
      <c r="F103" s="14" t="str">
        <f t="shared" si="78"/>
        <v/>
      </c>
      <c r="G103" s="352">
        <f>IF(X103="","",X103)</f>
        <v>0</v>
      </c>
      <c r="H103" s="14" t="str">
        <f t="shared" si="79"/>
        <v/>
      </c>
      <c r="I103" s="352">
        <f>IF(Z103="","",Z103)</f>
        <v>0</v>
      </c>
      <c r="J103" s="14" t="str">
        <f t="shared" si="80"/>
        <v/>
      </c>
      <c r="K103" s="352">
        <f>IF(AB103="","",AB103)</f>
        <v>0</v>
      </c>
      <c r="L103" s="14" t="str">
        <f t="shared" si="81"/>
        <v/>
      </c>
      <c r="M103" s="352">
        <f>IF(AD103="","",AD103)</f>
        <v>0</v>
      </c>
      <c r="N103" s="14" t="str">
        <f t="shared" si="82"/>
        <v/>
      </c>
      <c r="O103" s="352">
        <f>IF(AF103="","",AF103)</f>
        <v>0</v>
      </c>
      <c r="R103" s="355" t="s">
        <v>3</v>
      </c>
      <c r="S103" s="68" t="str">
        <f>IF(T103=0,"",VLOOKUP(T103,Starter!$A$1:$D$196,2,FALSE))</f>
        <v/>
      </c>
      <c r="T103" s="178"/>
      <c r="U103" s="186"/>
      <c r="V103" s="95">
        <f>IF(SUM(U103:U105)+U117=0,0,IF(ABS(SUM(U103:U105))=U117,0.5,IF(ABS(SUM(U103:U105))&gt;U117,1,0)))</f>
        <v>0</v>
      </c>
      <c r="W103" s="186"/>
      <c r="X103" s="95">
        <f>IF(SUM(W103:W105)+W117=0,0,IF(ABS(SUM(W103:W105))=W117,0.5,IF(ABS(SUM(W103:W105))&gt;W117,1,0)))</f>
        <v>0</v>
      </c>
      <c r="Y103" s="186"/>
      <c r="Z103" s="95">
        <f>IF(SUM(Y103:Y105)+Y117=0,0,IF(ABS(SUM(Y103:Y105))=Y117,0.5,IF(ABS(SUM(Y103:Y105))&gt;Y117,1,0)))</f>
        <v>0</v>
      </c>
      <c r="AA103" s="186"/>
      <c r="AB103" s="95">
        <f>IF(SUM(AA103:AA105)+AA117=0,0,IF(ABS(SUM(AA103:AA105))=AA117,0.5,IF(ABS(SUM(AA103:AA105))&gt;AA117,1,0)))</f>
        <v>0</v>
      </c>
      <c r="AC103" s="186"/>
      <c r="AD103" s="95">
        <f>IF(SUM(AC103:AC105)+AC117=0,0,IF(ABS(SUM(AC103:AC105))=AC117,0.5,IF(ABS(SUM(AC103:AC105))&gt;AC117,1,0)))</f>
        <v>0</v>
      </c>
      <c r="AE103" s="195">
        <f t="shared" si="83"/>
        <v>0</v>
      </c>
      <c r="AF103" s="180">
        <f>SUM(V103+X103+Z103+AB103+AD103)</f>
        <v>0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4"/>
        <v>0</v>
      </c>
      <c r="BE103" s="213">
        <f t="shared" si="85"/>
        <v>0</v>
      </c>
      <c r="BF103" s="215">
        <f t="shared" si="86"/>
        <v>0</v>
      </c>
      <c r="BG103" s="215">
        <f t="shared" si="87"/>
        <v>0</v>
      </c>
      <c r="BH103" s="215" t="str">
        <f t="shared" si="88"/>
        <v/>
      </c>
      <c r="BI103" s="215" t="str">
        <f t="shared" si="89"/>
        <v/>
      </c>
      <c r="BJ103" s="215" t="str">
        <f t="shared" si="90"/>
        <v/>
      </c>
      <c r="BK103" s="215" t="str">
        <f t="shared" si="91"/>
        <v/>
      </c>
      <c r="BL103" s="215" t="str">
        <f t="shared" si="92"/>
        <v/>
      </c>
      <c r="BM103" s="216"/>
      <c r="BN103" s="214"/>
      <c r="BO103" s="215">
        <f t="shared" si="93"/>
        <v>0</v>
      </c>
      <c r="BP103" s="215">
        <f t="shared" si="94"/>
        <v>1.03E-7</v>
      </c>
      <c r="BQ103" s="215" t="str">
        <f t="shared" si="100"/>
        <v>Kings Club Bayreuth Land 3</v>
      </c>
      <c r="BR103" s="214">
        <f t="shared" si="95"/>
        <v>30</v>
      </c>
      <c r="BS103" s="215">
        <f t="shared" si="96"/>
        <v>0</v>
      </c>
      <c r="BT103" s="215">
        <f>IF(COUNTIF(BH103:BL103,"&gt;0")&lt;Spielorte!$A$23,0,BE103/Spielorte!$A$23)</f>
        <v>0</v>
      </c>
      <c r="BU103" s="215">
        <f t="shared" si="97"/>
        <v>1.03E-7</v>
      </c>
      <c r="BV103" s="214">
        <f t="shared" si="98"/>
        <v>30</v>
      </c>
    </row>
    <row r="104" spans="1:74" ht="17.100000000000001" customHeight="1" x14ac:dyDescent="0.2">
      <c r="A104" s="374"/>
      <c r="B104" s="19" t="str">
        <f t="shared" si="99"/>
        <v/>
      </c>
      <c r="C104" s="20" t="str">
        <f t="shared" si="99"/>
        <v/>
      </c>
      <c r="D104" s="15" t="str">
        <f t="shared" si="99"/>
        <v/>
      </c>
      <c r="E104" s="353"/>
      <c r="F104" s="15" t="str">
        <f t="shared" si="78"/>
        <v/>
      </c>
      <c r="G104" s="353"/>
      <c r="H104" s="15" t="str">
        <f t="shared" si="79"/>
        <v/>
      </c>
      <c r="I104" s="353"/>
      <c r="J104" s="15" t="str">
        <f t="shared" si="80"/>
        <v/>
      </c>
      <c r="K104" s="353"/>
      <c r="L104" s="15" t="str">
        <f t="shared" si="81"/>
        <v/>
      </c>
      <c r="M104" s="353"/>
      <c r="N104" s="15" t="str">
        <f t="shared" si="82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3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4"/>
        <v>0</v>
      </c>
      <c r="BE104" s="213">
        <f t="shared" si="85"/>
        <v>0</v>
      </c>
      <c r="BF104" s="215">
        <f t="shared" si="86"/>
        <v>0</v>
      </c>
      <c r="BG104" s="215">
        <f t="shared" si="87"/>
        <v>0</v>
      </c>
      <c r="BH104" s="215" t="str">
        <f t="shared" si="88"/>
        <v/>
      </c>
      <c r="BI104" s="215" t="str">
        <f t="shared" si="89"/>
        <v/>
      </c>
      <c r="BJ104" s="215" t="str">
        <f t="shared" si="90"/>
        <v/>
      </c>
      <c r="BK104" s="215" t="str">
        <f t="shared" si="91"/>
        <v/>
      </c>
      <c r="BL104" s="215" t="str">
        <f t="shared" si="92"/>
        <v/>
      </c>
      <c r="BM104" s="216"/>
      <c r="BN104" s="214"/>
      <c r="BO104" s="215">
        <f t="shared" si="93"/>
        <v>0</v>
      </c>
      <c r="BP104" s="215">
        <f t="shared" si="94"/>
        <v>1.04E-7</v>
      </c>
      <c r="BQ104" s="215" t="str">
        <f t="shared" si="100"/>
        <v>Kings Club Bayreuth Land 3</v>
      </c>
      <c r="BR104" s="214">
        <f t="shared" si="95"/>
        <v>29</v>
      </c>
      <c r="BS104" s="215">
        <f t="shared" si="96"/>
        <v>0</v>
      </c>
      <c r="BT104" s="215">
        <f>IF(COUNTIF(BH104:BL104,"&gt;0")&lt;Spielorte!$A$23,0,BE104/Spielorte!$A$23)</f>
        <v>0</v>
      </c>
      <c r="BU104" s="215">
        <f t="shared" si="97"/>
        <v>1.04E-7</v>
      </c>
      <c r="BV104" s="214">
        <f t="shared" si="98"/>
        <v>29</v>
      </c>
    </row>
    <row r="105" spans="1:74" ht="17.100000000000001" customHeight="1" thickBot="1" x14ac:dyDescent="0.25">
      <c r="A105" s="375"/>
      <c r="B105" s="21" t="str">
        <f t="shared" si="99"/>
        <v/>
      </c>
      <c r="C105" s="22" t="str">
        <f t="shared" si="99"/>
        <v/>
      </c>
      <c r="D105" s="9" t="str">
        <f t="shared" si="99"/>
        <v/>
      </c>
      <c r="E105" s="354"/>
      <c r="F105" s="9" t="str">
        <f t="shared" si="78"/>
        <v/>
      </c>
      <c r="G105" s="354"/>
      <c r="H105" s="9" t="str">
        <f t="shared" si="79"/>
        <v/>
      </c>
      <c r="I105" s="354"/>
      <c r="J105" s="9" t="str">
        <f t="shared" si="80"/>
        <v/>
      </c>
      <c r="K105" s="354"/>
      <c r="L105" s="9" t="str">
        <f t="shared" si="81"/>
        <v/>
      </c>
      <c r="M105" s="354"/>
      <c r="N105" s="9" t="str">
        <f t="shared" si="82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3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4"/>
        <v>0</v>
      </c>
      <c r="BE105" s="213">
        <f t="shared" si="85"/>
        <v>0</v>
      </c>
      <c r="BF105" s="215">
        <f t="shared" si="86"/>
        <v>0</v>
      </c>
      <c r="BG105" s="215">
        <f t="shared" si="87"/>
        <v>0</v>
      </c>
      <c r="BH105" s="215" t="str">
        <f t="shared" si="88"/>
        <v/>
      </c>
      <c r="BI105" s="215" t="str">
        <f t="shared" si="89"/>
        <v/>
      </c>
      <c r="BJ105" s="215" t="str">
        <f t="shared" si="90"/>
        <v/>
      </c>
      <c r="BK105" s="215" t="str">
        <f t="shared" si="91"/>
        <v/>
      </c>
      <c r="BL105" s="215" t="str">
        <f t="shared" si="92"/>
        <v/>
      </c>
      <c r="BM105" s="216"/>
      <c r="BN105" s="214"/>
      <c r="BO105" s="215">
        <f t="shared" si="93"/>
        <v>0</v>
      </c>
      <c r="BP105" s="215">
        <f t="shared" si="94"/>
        <v>1.05E-7</v>
      </c>
      <c r="BQ105" s="215" t="str">
        <f t="shared" si="100"/>
        <v>Kings Club Bayreuth Land 3</v>
      </c>
      <c r="BR105" s="214">
        <f t="shared" si="95"/>
        <v>28</v>
      </c>
      <c r="BS105" s="215">
        <f t="shared" si="96"/>
        <v>0</v>
      </c>
      <c r="BT105" s="215">
        <f>IF(COUNTIF(BH105:BL105,"&gt;0")&lt;Spielorte!$A$23,0,BE105/Spielorte!$A$23)</f>
        <v>0</v>
      </c>
      <c r="BU105" s="215">
        <f t="shared" si="97"/>
        <v>1.05E-7</v>
      </c>
      <c r="BV105" s="214">
        <f t="shared" si="98"/>
        <v>28</v>
      </c>
    </row>
    <row r="106" spans="1:74" ht="17.100000000000001" customHeight="1" x14ac:dyDescent="0.2">
      <c r="A106" s="373" t="s">
        <v>11</v>
      </c>
      <c r="B106" s="17" t="str">
        <f>IF(S106=0,"",S106)</f>
        <v/>
      </c>
      <c r="C106" s="18" t="str">
        <f t="shared" si="99"/>
        <v/>
      </c>
      <c r="D106" s="14" t="str">
        <f t="shared" si="99"/>
        <v/>
      </c>
      <c r="E106" s="352">
        <f>IF(V106="","",V106)</f>
        <v>0</v>
      </c>
      <c r="F106" s="14" t="str">
        <f t="shared" si="78"/>
        <v/>
      </c>
      <c r="G106" s="352">
        <f>IF(X106="","",X106)</f>
        <v>0</v>
      </c>
      <c r="H106" s="14" t="str">
        <f t="shared" si="79"/>
        <v/>
      </c>
      <c r="I106" s="352">
        <f>IF(Z106="","",Z106)</f>
        <v>0</v>
      </c>
      <c r="J106" s="14" t="str">
        <f t="shared" si="80"/>
        <v/>
      </c>
      <c r="K106" s="352">
        <f>IF(AB106="","",AB106)</f>
        <v>0</v>
      </c>
      <c r="L106" s="14" t="str">
        <f t="shared" si="81"/>
        <v/>
      </c>
      <c r="M106" s="352">
        <f>IF(AD106="","",AD106)</f>
        <v>0</v>
      </c>
      <c r="N106" s="14" t="str">
        <f t="shared" si="82"/>
        <v/>
      </c>
      <c r="O106" s="352">
        <f>IF(AF106="","",AF106)</f>
        <v>0</v>
      </c>
      <c r="R106" s="355" t="s">
        <v>11</v>
      </c>
      <c r="S106" s="68" t="str">
        <f>IF(T106=0,"",VLOOKUP(T106,Starter!$A$1:$D$196,2,FALSE))</f>
        <v/>
      </c>
      <c r="T106" s="178"/>
      <c r="U106" s="186"/>
      <c r="V106" s="95">
        <f>IF(SUM(U106:U108)+U118=0,0,IF(ABS(SUM(U106:U108))=U118,0.5,IF(ABS(SUM(U106:U108))&gt;U118,1,0)))</f>
        <v>0</v>
      </c>
      <c r="W106" s="186"/>
      <c r="X106" s="95">
        <f>IF(SUM(W106:W108)+W118=0,0,IF(ABS(SUM(W106:W108))=W118,0.5,IF(ABS(SUM(W106:W108))&gt;W118,1,0)))</f>
        <v>0</v>
      </c>
      <c r="Y106" s="186"/>
      <c r="Z106" s="95">
        <f>IF(SUM(Y106:Y108)+Y118=0,0,IF(ABS(SUM(Y106:Y108))=Y118,0.5,IF(ABS(SUM(Y106:Y108))&gt;Y118,1,0)))</f>
        <v>0</v>
      </c>
      <c r="AA106" s="186"/>
      <c r="AB106" s="95">
        <f>IF(SUM(AA106:AA108)+AA118=0,0,IF(ABS(SUM(AA106:AA108))=AA118,0.5,IF(ABS(SUM(AA106:AA108))&gt;AA118,1,0)))</f>
        <v>0</v>
      </c>
      <c r="AC106" s="186"/>
      <c r="AD106" s="95">
        <f>IF(SUM(AC106:AC108)+AC118=0,0,IF(ABS(SUM(AC106:AC108))=AC118,0.5,IF(ABS(SUM(AC106:AC108))&gt;AC118,1,0)))</f>
        <v>0</v>
      </c>
      <c r="AE106" s="195">
        <f t="shared" si="83"/>
        <v>0</v>
      </c>
      <c r="AF106" s="180">
        <f>SUM(V106+X106+Z106+AB106+AD106)</f>
        <v>0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4"/>
        <v>0</v>
      </c>
      <c r="BE106" s="213">
        <f t="shared" si="85"/>
        <v>0</v>
      </c>
      <c r="BF106" s="215">
        <f t="shared" si="86"/>
        <v>0</v>
      </c>
      <c r="BG106" s="215">
        <f t="shared" si="87"/>
        <v>0</v>
      </c>
      <c r="BH106" s="215" t="str">
        <f t="shared" si="88"/>
        <v/>
      </c>
      <c r="BI106" s="215" t="str">
        <f t="shared" si="89"/>
        <v/>
      </c>
      <c r="BJ106" s="215" t="str">
        <f t="shared" si="90"/>
        <v/>
      </c>
      <c r="BK106" s="215" t="str">
        <f t="shared" si="91"/>
        <v/>
      </c>
      <c r="BL106" s="215" t="str">
        <f t="shared" si="92"/>
        <v/>
      </c>
      <c r="BM106" s="216"/>
      <c r="BN106" s="214"/>
      <c r="BO106" s="215">
        <f t="shared" si="93"/>
        <v>0</v>
      </c>
      <c r="BP106" s="215">
        <f t="shared" si="94"/>
        <v>1.06E-7</v>
      </c>
      <c r="BQ106" s="215" t="str">
        <f t="shared" si="100"/>
        <v>Kings Club Bayreuth Land 3</v>
      </c>
      <c r="BR106" s="214">
        <f t="shared" si="95"/>
        <v>27</v>
      </c>
      <c r="BS106" s="215">
        <f t="shared" si="96"/>
        <v>0</v>
      </c>
      <c r="BT106" s="215">
        <f>IF(COUNTIF(BH106:BL106,"&gt;0")&lt;Spielorte!$A$23,0,BE106/Spielorte!$A$23)</f>
        <v>0</v>
      </c>
      <c r="BU106" s="215">
        <f t="shared" si="97"/>
        <v>1.06E-7</v>
      </c>
      <c r="BV106" s="214">
        <f t="shared" si="98"/>
        <v>27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99"/>
        <v/>
      </c>
      <c r="D107" s="15" t="str">
        <f t="shared" si="99"/>
        <v/>
      </c>
      <c r="E107" s="353"/>
      <c r="F107" s="15" t="str">
        <f t="shared" si="78"/>
        <v/>
      </c>
      <c r="G107" s="353"/>
      <c r="H107" s="15" t="str">
        <f t="shared" si="79"/>
        <v/>
      </c>
      <c r="I107" s="353"/>
      <c r="J107" s="15" t="str">
        <f t="shared" si="80"/>
        <v/>
      </c>
      <c r="K107" s="353"/>
      <c r="L107" s="15" t="str">
        <f t="shared" si="81"/>
        <v/>
      </c>
      <c r="M107" s="353"/>
      <c r="N107" s="15" t="str">
        <f t="shared" si="82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3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4"/>
        <v>0</v>
      </c>
      <c r="BE107" s="213">
        <f t="shared" si="85"/>
        <v>0</v>
      </c>
      <c r="BF107" s="215">
        <f t="shared" si="86"/>
        <v>0</v>
      </c>
      <c r="BG107" s="215">
        <f t="shared" si="87"/>
        <v>0</v>
      </c>
      <c r="BH107" s="215" t="str">
        <f t="shared" si="88"/>
        <v/>
      </c>
      <c r="BI107" s="215" t="str">
        <f t="shared" si="89"/>
        <v/>
      </c>
      <c r="BJ107" s="215" t="str">
        <f t="shared" si="90"/>
        <v/>
      </c>
      <c r="BK107" s="215" t="str">
        <f t="shared" si="91"/>
        <v/>
      </c>
      <c r="BL107" s="215" t="str">
        <f t="shared" si="92"/>
        <v/>
      </c>
      <c r="BM107" s="216"/>
      <c r="BN107" s="214"/>
      <c r="BO107" s="215">
        <f t="shared" si="93"/>
        <v>0</v>
      </c>
      <c r="BP107" s="215">
        <f t="shared" si="94"/>
        <v>1.0700000000000001E-7</v>
      </c>
      <c r="BQ107" s="215" t="str">
        <f t="shared" si="100"/>
        <v>Kings Club Bayreuth Land 3</v>
      </c>
      <c r="BR107" s="214">
        <f t="shared" si="95"/>
        <v>26</v>
      </c>
      <c r="BS107" s="215">
        <f t="shared" si="96"/>
        <v>0</v>
      </c>
      <c r="BT107" s="215">
        <f>IF(COUNTIF(BH107:BL107,"&gt;0")&lt;Spielorte!$A$23,0,BE107/Spielorte!$A$23)</f>
        <v>0</v>
      </c>
      <c r="BU107" s="215">
        <f t="shared" si="97"/>
        <v>1.0700000000000001E-7</v>
      </c>
      <c r="BV107" s="214">
        <f t="shared" si="98"/>
        <v>26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99"/>
        <v/>
      </c>
      <c r="D108" s="9" t="str">
        <f t="shared" si="99"/>
        <v/>
      </c>
      <c r="E108" s="354"/>
      <c r="F108" s="9" t="str">
        <f t="shared" si="78"/>
        <v/>
      </c>
      <c r="G108" s="354"/>
      <c r="H108" s="9" t="str">
        <f t="shared" si="79"/>
        <v/>
      </c>
      <c r="I108" s="354"/>
      <c r="J108" s="9" t="str">
        <f t="shared" si="80"/>
        <v/>
      </c>
      <c r="K108" s="354"/>
      <c r="L108" s="9" t="str">
        <f t="shared" si="81"/>
        <v/>
      </c>
      <c r="M108" s="354"/>
      <c r="N108" s="9" t="str">
        <f t="shared" si="82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3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4"/>
        <v>0</v>
      </c>
      <c r="BE108" s="213">
        <f t="shared" si="85"/>
        <v>0</v>
      </c>
      <c r="BF108" s="215">
        <f t="shared" si="86"/>
        <v>0</v>
      </c>
      <c r="BG108" s="215">
        <f t="shared" si="87"/>
        <v>0</v>
      </c>
      <c r="BH108" s="215" t="str">
        <f t="shared" si="88"/>
        <v/>
      </c>
      <c r="BI108" s="215" t="str">
        <f t="shared" si="89"/>
        <v/>
      </c>
      <c r="BJ108" s="215" t="str">
        <f t="shared" si="90"/>
        <v/>
      </c>
      <c r="BK108" s="215" t="str">
        <f t="shared" si="91"/>
        <v/>
      </c>
      <c r="BL108" s="215" t="str">
        <f t="shared" si="92"/>
        <v/>
      </c>
      <c r="BM108" s="216"/>
      <c r="BN108" s="214"/>
      <c r="BO108" s="215">
        <f t="shared" si="93"/>
        <v>0</v>
      </c>
      <c r="BP108" s="215">
        <f t="shared" si="94"/>
        <v>1.08E-7</v>
      </c>
      <c r="BQ108" s="215" t="str">
        <f t="shared" si="100"/>
        <v>Kings Club Bayreuth Land 3</v>
      </c>
      <c r="BR108" s="214">
        <f t="shared" si="95"/>
        <v>25</v>
      </c>
      <c r="BS108" s="215">
        <f t="shared" si="96"/>
        <v>0</v>
      </c>
      <c r="BT108" s="215">
        <f>IF(COUNTIF(BH108:BL108,"&gt;0")&lt;Spielorte!$A$23,0,BE108/Spielorte!$A$23)</f>
        <v>0</v>
      </c>
      <c r="BU108" s="215">
        <f t="shared" si="97"/>
        <v>1.08E-7</v>
      </c>
      <c r="BV108" s="214">
        <f t="shared" si="98"/>
        <v>25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99"/>
        <v/>
      </c>
      <c r="D109" s="16" t="str">
        <f t="shared" si="99"/>
        <v/>
      </c>
      <c r="E109" s="12">
        <f>IF(V109="","",V109)</f>
        <v>0</v>
      </c>
      <c r="F109" s="16" t="str">
        <f t="shared" si="78"/>
        <v/>
      </c>
      <c r="G109" s="12">
        <f>IF(X109="","",X109)</f>
        <v>0</v>
      </c>
      <c r="H109" s="16" t="str">
        <f t="shared" si="79"/>
        <v/>
      </c>
      <c r="I109" s="12">
        <f>IF(Z109="","",Z109)</f>
        <v>0</v>
      </c>
      <c r="J109" s="16" t="str">
        <f t="shared" si="80"/>
        <v/>
      </c>
      <c r="K109" s="12">
        <f>IF(AB109="","",AB109)</f>
        <v>0</v>
      </c>
      <c r="L109" s="16" t="str">
        <f t="shared" si="81"/>
        <v/>
      </c>
      <c r="M109" s="12">
        <f>IF(AD109="","",AD109)</f>
        <v>0</v>
      </c>
      <c r="N109" s="16" t="str">
        <f t="shared" si="82"/>
        <v/>
      </c>
      <c r="O109" s="12">
        <f>IF(AF109="","",AF109)</f>
        <v>0</v>
      </c>
      <c r="S109" s="11" t="s">
        <v>1791</v>
      </c>
      <c r="T109" s="71"/>
      <c r="U109" s="188">
        <f>ABS(SUM(U97:U99))+ABS(SUM(U100:U102))+ABS(SUM(U103:U105))+ABS(SUM(U106:U108))</f>
        <v>0</v>
      </c>
      <c r="V109" s="98">
        <f>IF(U109+U119=0,0,IF(U109=U119,1,IF(U109&gt;U119,2,0)))</f>
        <v>0</v>
      </c>
      <c r="W109" s="188">
        <f>ABS(SUM(W97:W99))+ABS(SUM(W100:W102))+ABS(SUM(W103:W105))+ABS(SUM(W106:W108))</f>
        <v>0</v>
      </c>
      <c r="X109" s="98">
        <f>IF(W109+W119=0,0,IF(W109=W119,1,IF(W109&gt;W119,2,0)))</f>
        <v>0</v>
      </c>
      <c r="Y109" s="188">
        <f>ABS(SUM(Y97:Y99))+ABS(SUM(Y100:Y102))+ABS(SUM(Y103:Y105))+ABS(SUM(Y106:Y108))</f>
        <v>0</v>
      </c>
      <c r="Z109" s="98">
        <f>IF(Y109+Y119=0,0,IF(Y109=Y119,1,IF(Y109&gt;Y119,2,0)))</f>
        <v>0</v>
      </c>
      <c r="AA109" s="188">
        <f>ABS(SUM(AA97:AA99))+ABS(SUM(AA100:AA102))+ABS(SUM(AA103:AA105))+ABS(SUM(AA106:AA108))</f>
        <v>0</v>
      </c>
      <c r="AB109" s="98">
        <f>IF(AA109+AA119=0,0,IF(AA109=AA119,1,IF(AA109&gt;AA119,2,0)))</f>
        <v>0</v>
      </c>
      <c r="AC109" s="188">
        <f>ABS(SUM(AC97:AC99))+ABS(SUM(AC100:AC102))+ABS(SUM(AC103:AC105))+ABS(SUM(AC106:AC108))</f>
        <v>0</v>
      </c>
      <c r="AD109" s="98">
        <f>IF(AC109+AC119=0,0,IF(AC109=AC119,1,IF(AC109&gt;AC119,2,0)))</f>
        <v>0</v>
      </c>
      <c r="AE109" s="198">
        <f>SUM(U109+W109+Y109+AA109+AC109)</f>
        <v>0</v>
      </c>
      <c r="AF109" s="12">
        <f>SUM(V109+X109+Z109+AB109+AD109)</f>
        <v>0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99"/>
        <v/>
      </c>
      <c r="D110" s="1" t="str">
        <f t="shared" si="99"/>
        <v/>
      </c>
      <c r="E110" s="23">
        <f>IF(V110="","",V110)</f>
        <v>0</v>
      </c>
      <c r="F110" s="1" t="str">
        <f t="shared" si="78"/>
        <v/>
      </c>
      <c r="G110" s="23">
        <f>IF(X110="","",X110)</f>
        <v>0</v>
      </c>
      <c r="H110" s="1" t="str">
        <f t="shared" si="79"/>
        <v/>
      </c>
      <c r="I110" s="23">
        <f>IF(Z110="","",Z110)</f>
        <v>0</v>
      </c>
      <c r="J110" s="1" t="str">
        <f t="shared" si="80"/>
        <v/>
      </c>
      <c r="K110" s="23">
        <f>IF(AB110="","",AB110)</f>
        <v>0</v>
      </c>
      <c r="L110" s="1" t="str">
        <f t="shared" si="81"/>
        <v/>
      </c>
      <c r="M110" s="23">
        <f>IF(AD110="","",AD110)</f>
        <v>0</v>
      </c>
      <c r="N110" s="1" t="str">
        <f t="shared" si="82"/>
        <v/>
      </c>
      <c r="O110" s="23">
        <f>IF(AF110="","",AF110)</f>
        <v>0</v>
      </c>
      <c r="S110" s="8" t="s">
        <v>1802</v>
      </c>
      <c r="T110" s="1"/>
      <c r="U110" s="1"/>
      <c r="V110" s="72">
        <f>SUM(V97:V109)</f>
        <v>0</v>
      </c>
      <c r="W110" s="1"/>
      <c r="X110" s="72">
        <f>SUM(X97:X109)</f>
        <v>0</v>
      </c>
      <c r="Y110" s="1"/>
      <c r="Z110" s="72">
        <f>SUM(Z97:Z109)</f>
        <v>0</v>
      </c>
      <c r="AA110" s="1"/>
      <c r="AB110" s="72">
        <f>SUM(AB97:AB109)</f>
        <v>0</v>
      </c>
      <c r="AC110" s="1"/>
      <c r="AD110" s="72">
        <f>SUM(AD97:AD109)</f>
        <v>0</v>
      </c>
      <c r="AE110" s="1"/>
      <c r="AF110" s="72">
        <f>SUM(AF97:AF109)</f>
        <v>0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0</v>
      </c>
      <c r="BB110" s="213">
        <f>AE109</f>
        <v>0</v>
      </c>
      <c r="BC110" s="214">
        <f>+S92</f>
        <v>4</v>
      </c>
      <c r="BF110" s="215">
        <f>SUM(BF91:BF109)</f>
        <v>0</v>
      </c>
      <c r="BM110" s="212">
        <f>+BB110/1000000+BA110</f>
        <v>0</v>
      </c>
      <c r="BN110" s="214">
        <f>RANK(BM110,BM:BM)</f>
        <v>1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M112" si="101">IF(S112=0,"",S112)</f>
        <v>Gegner-Nr.:</v>
      </c>
      <c r="C112" s="5" t="str">
        <f t="shared" si="101"/>
        <v>&gt;&gt;&gt;&gt;</v>
      </c>
      <c r="D112" s="350">
        <f t="shared" si="101"/>
        <v>3</v>
      </c>
      <c r="E112" s="350" t="str">
        <f t="shared" si="101"/>
        <v/>
      </c>
      <c r="F112" s="350">
        <f t="shared" si="101"/>
        <v>5</v>
      </c>
      <c r="G112" s="350" t="str">
        <f t="shared" si="101"/>
        <v/>
      </c>
      <c r="H112" s="350">
        <f t="shared" si="101"/>
        <v>6</v>
      </c>
      <c r="I112" s="350" t="str">
        <f t="shared" si="101"/>
        <v/>
      </c>
      <c r="J112" s="350">
        <f t="shared" si="101"/>
        <v>1</v>
      </c>
      <c r="K112" s="350" t="str">
        <f t="shared" si="101"/>
        <v/>
      </c>
      <c r="L112" s="350">
        <f t="shared" si="101"/>
        <v>2</v>
      </c>
      <c r="M112" s="350" t="str">
        <f t="shared" si="101"/>
        <v/>
      </c>
      <c r="N112" s="351"/>
      <c r="O112" s="351"/>
      <c r="S112" s="13" t="s">
        <v>1789</v>
      </c>
      <c r="T112" s="5" t="s">
        <v>1790</v>
      </c>
      <c r="U112" s="369">
        <f>VLOOKUP($S92,Schlüssel!$A$5:$DG$10,103)</f>
        <v>3</v>
      </c>
      <c r="V112" s="370"/>
      <c r="W112" s="369">
        <f>VLOOKUP($S92,Schlüssel!$A$5:$EK$10,104)</f>
        <v>5</v>
      </c>
      <c r="X112" s="370"/>
      <c r="Y112" s="369">
        <f>VLOOKUP($S92,Schlüssel!$A$5:$EK$10,105)</f>
        <v>6</v>
      </c>
      <c r="Z112" s="370"/>
      <c r="AA112" s="369">
        <f>VLOOKUP($S92,Schlüssel!$A$5:$EK$10,106)</f>
        <v>1</v>
      </c>
      <c r="AB112" s="370"/>
      <c r="AC112" s="369">
        <f>VLOOKUP($S92,Schlüssel!$A$5:$EK$10,107)</f>
        <v>2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ref="B113:K114" si="102">IF(S113=0,"",S113)</f>
        <v/>
      </c>
      <c r="C113" s="1" t="str">
        <f t="shared" si="102"/>
        <v/>
      </c>
      <c r="D113" s="347" t="str">
        <f t="shared" si="102"/>
        <v>Kings Club Bayreuth Land 2</v>
      </c>
      <c r="E113" s="348" t="str">
        <f t="shared" si="102"/>
        <v/>
      </c>
      <c r="F113" s="347" t="str">
        <f t="shared" si="102"/>
        <v>Castra Regina Regensburg 2</v>
      </c>
      <c r="G113" s="348" t="str">
        <f t="shared" si="102"/>
        <v/>
      </c>
      <c r="H113" s="347" t="str">
        <f t="shared" si="102"/>
        <v>Adler Nürnberg 1</v>
      </c>
      <c r="I113" s="348" t="str">
        <f t="shared" si="102"/>
        <v/>
      </c>
      <c r="J113" s="347" t="str">
        <f t="shared" si="102"/>
        <v>Castra Regina Regensburg 3</v>
      </c>
      <c r="K113" s="348" t="str">
        <f t="shared" si="102"/>
        <v/>
      </c>
      <c r="L113" s="347" t="str">
        <f>IF(AC113=0,"",AC113)</f>
        <v>Herzogenaurach 1</v>
      </c>
      <c r="M113" s="348" t="str">
        <f>IF(AD113=0,"",AD113)</f>
        <v/>
      </c>
      <c r="N113" s="349"/>
      <c r="O113" s="349"/>
      <c r="S113" s="4"/>
      <c r="T113" s="1"/>
      <c r="U113" s="347" t="str">
        <f>VLOOKUP(U112,Schlüssel!$A$5:$K$10,2)</f>
        <v>Kings Club Bayreuth Land 2</v>
      </c>
      <c r="V113" s="348"/>
      <c r="W113" s="347" t="str">
        <f>VLOOKUP(W112,Schlüssel!$A$5:$K$10,2)</f>
        <v>Castra Regina Regensburg 2</v>
      </c>
      <c r="X113" s="348"/>
      <c r="Y113" s="347" t="str">
        <f>VLOOKUP(Y112,Schlüssel!$A$5:$K$10,2)</f>
        <v>Adler Nürnberg 1</v>
      </c>
      <c r="Z113" s="348"/>
      <c r="AA113" s="347" t="str">
        <f>VLOOKUP(AA112,Schlüssel!$A$5:$K$10,2)</f>
        <v>Castra Regina Regensburg 3</v>
      </c>
      <c r="AB113" s="348"/>
      <c r="AC113" s="347" t="str">
        <f>VLOOKUP(AC112,Schlüssel!$A$5:$K$10,2)</f>
        <v>Herzogenaurach 1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2"/>
        <v/>
      </c>
      <c r="C114" s="1" t="str">
        <f t="shared" si="102"/>
        <v/>
      </c>
      <c r="D114" s="346" t="str">
        <f t="shared" si="102"/>
        <v/>
      </c>
      <c r="E114" s="346" t="str">
        <f t="shared" si="102"/>
        <v/>
      </c>
      <c r="F114" s="346" t="str">
        <f t="shared" si="102"/>
        <v/>
      </c>
      <c r="G114" s="346" t="str">
        <f t="shared" si="102"/>
        <v/>
      </c>
      <c r="H114" s="346" t="str">
        <f t="shared" si="102"/>
        <v/>
      </c>
      <c r="I114" s="346" t="str">
        <f t="shared" si="102"/>
        <v/>
      </c>
      <c r="J114" s="346" t="str">
        <f t="shared" si="102"/>
        <v/>
      </c>
      <c r="K114" s="346" t="str">
        <f t="shared" si="102"/>
        <v/>
      </c>
      <c r="L114" s="346" t="str">
        <f>IF(AC114=0,"",AC114)</f>
        <v/>
      </c>
      <c r="M114" s="346" t="str">
        <f>IF(AD114=0,"",AD114)</f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ref="B115:C119" si="103">IF(S115=0,"",S115)</f>
        <v>Spieler 1</v>
      </c>
      <c r="C115" s="372" t="str">
        <f t="shared" si="103"/>
        <v/>
      </c>
      <c r="D115" s="344">
        <f>IF(U115=301,"",U115)</f>
        <v>0</v>
      </c>
      <c r="E115" s="344" t="str">
        <f>IF(V115=0,"",V115)</f>
        <v/>
      </c>
      <c r="F115" s="344">
        <f>IF(W115=301,"",W115)</f>
        <v>0</v>
      </c>
      <c r="G115" s="344" t="str">
        <f>IF(X115=0,"",X115)</f>
        <v/>
      </c>
      <c r="H115" s="344">
        <f>IF(Y115=301,"",Y115)</f>
        <v>0</v>
      </c>
      <c r="I115" s="344" t="str">
        <f>IF(Z115=0,"",Z115)</f>
        <v/>
      </c>
      <c r="J115" s="344">
        <f>IF(AA115=301,"",AA115)</f>
        <v>0</v>
      </c>
      <c r="K115" s="344" t="str">
        <f>IF(AB115=0,"",AB115)</f>
        <v/>
      </c>
      <c r="L115" s="344">
        <f>IF(AC115=301,"",AC115)</f>
        <v>0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0</v>
      </c>
      <c r="V115" s="368"/>
      <c r="W115" s="367">
        <f>ABS(INDEX(W:W,MATCH(W112,$S:$S,0)+5)+INDEX(W:W,MATCH(W112,$S:$S,0)+6)+INDEX(W:W,MATCH(W112,$S:$S,0)+7))</f>
        <v>0</v>
      </c>
      <c r="X115" s="368"/>
      <c r="Y115" s="367">
        <f>ABS(INDEX(Y:Y,MATCH(Y112,$S:$S,0)+5)+INDEX(Y:Y,MATCH(Y112,$S:$S,0)+6)+INDEX(Y:Y,MATCH(Y112,$S:$S,0)+7))</f>
        <v>0</v>
      </c>
      <c r="Z115" s="368"/>
      <c r="AA115" s="367">
        <f>ABS(INDEX(AA:AA,MATCH(AA112,$S:$S,0)+5)+INDEX(AA:AA,MATCH(AA112,$S:$S,0)+6)+INDEX(AA:AA,MATCH(AA112,$S:$S,0)+7))</f>
        <v>0</v>
      </c>
      <c r="AB115" s="368"/>
      <c r="AC115" s="367">
        <f>ABS(INDEX(AC:AC,MATCH(AC112,$S:$S,0)+5)+INDEX(AC:AC,MATCH(AC112,$S:$S,0)+6)+INDEX(AC:AC,MATCH(AC112,$S:$S,0)+7))</f>
        <v>0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3"/>
        <v>Spieler 2</v>
      </c>
      <c r="C116" s="372" t="str">
        <f t="shared" si="103"/>
        <v/>
      </c>
      <c r="D116" s="344">
        <f>IF(U116=301,"",U116)</f>
        <v>0</v>
      </c>
      <c r="E116" s="344" t="str">
        <f>IF(V116=0,"",V116)</f>
        <v/>
      </c>
      <c r="F116" s="344">
        <f>IF(W116=301,"",W116)</f>
        <v>0</v>
      </c>
      <c r="G116" s="344" t="str">
        <f>IF(X116=0,"",X116)</f>
        <v/>
      </c>
      <c r="H116" s="344">
        <f>IF(Y116=301,"",Y116)</f>
        <v>0</v>
      </c>
      <c r="I116" s="344" t="str">
        <f>IF(Z116=0,"",Z116)</f>
        <v/>
      </c>
      <c r="J116" s="344">
        <f>IF(AA116=301,"",AA116)</f>
        <v>0</v>
      </c>
      <c r="K116" s="344" t="str">
        <f>IF(AB116=0,"",AB116)</f>
        <v/>
      </c>
      <c r="L116" s="344">
        <f>IF(AC116=301,"",AC116)</f>
        <v>0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0</v>
      </c>
      <c r="V116" s="366"/>
      <c r="W116" s="365">
        <f>ABS(INDEX(W:W,MATCH(W112,$S:$S,0)+8)+INDEX(W:W,MATCH(W112,$S:$S,0)+9)+INDEX(W:W,MATCH(W112,$S:$S,0)+10))</f>
        <v>0</v>
      </c>
      <c r="X116" s="366"/>
      <c r="Y116" s="365">
        <f>ABS(INDEX(Y:Y,MATCH(Y112,$S:$S,0)+8)+INDEX(Y:Y,MATCH(Y112,$S:$S,0)+9)+INDEX(Y:Y,MATCH(Y112,$S:$S,0)+10))</f>
        <v>0</v>
      </c>
      <c r="Z116" s="366"/>
      <c r="AA116" s="365">
        <f>ABS(INDEX(AA:AA,MATCH(AA112,$S:$S,0)+8)+INDEX(AA:AA,MATCH(AA112,$S:$S,0)+9)+INDEX(AA:AA,MATCH(AA112,$S:$S,0)+10))</f>
        <v>0</v>
      </c>
      <c r="AB116" s="366"/>
      <c r="AC116" s="365">
        <f>ABS(INDEX(AC:AC,MATCH(AC112,$S:$S,0)+8)+INDEX(AC:AC,MATCH(AC112,$S:$S,0)+9)+INDEX(AC:AC,MATCH(AC112,$S:$S,0)+10))</f>
        <v>0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3"/>
        <v>Spieler 3</v>
      </c>
      <c r="C117" s="372" t="str">
        <f t="shared" si="103"/>
        <v/>
      </c>
      <c r="D117" s="344">
        <f>IF(U117=301,"",U117)</f>
        <v>0</v>
      </c>
      <c r="E117" s="344" t="str">
        <f>IF(V117=0,"",V117)</f>
        <v/>
      </c>
      <c r="F117" s="344">
        <f>IF(W117=301,"",W117)</f>
        <v>0</v>
      </c>
      <c r="G117" s="344" t="str">
        <f>IF(X117=0,"",X117)</f>
        <v/>
      </c>
      <c r="H117" s="344">
        <f>IF(Y117=301,"",Y117)</f>
        <v>0</v>
      </c>
      <c r="I117" s="344" t="str">
        <f>IF(Z117=0,"",Z117)</f>
        <v/>
      </c>
      <c r="J117" s="344">
        <f>IF(AA117=301,"",AA117)</f>
        <v>0</v>
      </c>
      <c r="K117" s="344" t="str">
        <f>IF(AB117=0,"",AB117)</f>
        <v/>
      </c>
      <c r="L117" s="344">
        <f>IF(AC117=301,"",AC117)</f>
        <v>0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0</v>
      </c>
      <c r="V117" s="366"/>
      <c r="W117" s="365">
        <f>ABS(INDEX(W:W,MATCH(W112,$S:$S,0)+11)+INDEX(W:W,MATCH(W112,$S:$S,0)+12)+INDEX(W:W,MATCH(W112,$S:$S,0)+13))</f>
        <v>0</v>
      </c>
      <c r="X117" s="366"/>
      <c r="Y117" s="365">
        <f>ABS(INDEX(Y:Y,MATCH(Y112,$S:$S,0)+11)+INDEX(Y:Y,MATCH(Y112,$S:$S,0)+12)+INDEX(Y:Y,MATCH(Y112,$S:$S,0)+13))</f>
        <v>0</v>
      </c>
      <c r="Z117" s="366"/>
      <c r="AA117" s="365">
        <f>ABS(INDEX(AA:AA,MATCH(AA112,$S:$S,0)+11)+INDEX(AA:AA,MATCH(AA112,$S:$S,0)+12)+INDEX(AA:AA,MATCH(AA112,$S:$S,0)+13))</f>
        <v>0</v>
      </c>
      <c r="AB117" s="366"/>
      <c r="AC117" s="365">
        <f>ABS(INDEX(AC:AC,MATCH(AC112,$S:$S,0)+11)+INDEX(AC:AC,MATCH(AC112,$S:$S,0)+12)+INDEX(AC:AC,MATCH(AC112,$S:$S,0)+13))</f>
        <v>0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3"/>
        <v>Spieler 4</v>
      </c>
      <c r="C118" s="372" t="str">
        <f t="shared" si="103"/>
        <v/>
      </c>
      <c r="D118" s="344">
        <f>IF(U118=301,"",U118)</f>
        <v>0</v>
      </c>
      <c r="E118" s="344" t="str">
        <f>IF(V118=0,"",V118)</f>
        <v/>
      </c>
      <c r="F118" s="344">
        <f>IF(W118=301,"",W118)</f>
        <v>0</v>
      </c>
      <c r="G118" s="344" t="str">
        <f>IF(X118=0,"",X118)</f>
        <v/>
      </c>
      <c r="H118" s="344">
        <f>IF(Y118=301,"",Y118)</f>
        <v>0</v>
      </c>
      <c r="I118" s="344" t="str">
        <f>IF(Z118=0,"",Z118)</f>
        <v/>
      </c>
      <c r="J118" s="344">
        <f>IF(AA118=301,"",AA118)</f>
        <v>0</v>
      </c>
      <c r="K118" s="344" t="str">
        <f>IF(AB118=0,"",AB118)</f>
        <v/>
      </c>
      <c r="L118" s="344">
        <f>IF(AC118=301,"",AC118)</f>
        <v>0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0</v>
      </c>
      <c r="V118" s="366"/>
      <c r="W118" s="365">
        <f>ABS(INDEX(W:W,MATCH(W112,$S:$S,0)+14)+INDEX(W:W,MATCH(W112,$S:$S,0)+15)+INDEX(W:W,MATCH(W112,$S:$S,0)+16))</f>
        <v>0</v>
      </c>
      <c r="X118" s="366"/>
      <c r="Y118" s="365">
        <f>ABS(INDEX(Y:Y,MATCH(Y112,$S:$S,0)+14)+INDEX(Y:Y,MATCH(Y112,$S:$S,0)+15)+INDEX(Y:Y,MATCH(Y112,$S:$S,0)+16))</f>
        <v>0</v>
      </c>
      <c r="Z118" s="366"/>
      <c r="AA118" s="365">
        <f>ABS(INDEX(AA:AA,MATCH(AA112,$S:$S,0)+14)+INDEX(AA:AA,MATCH(AA112,$S:$S,0)+15)+INDEX(AA:AA,MATCH(AA112,$S:$S,0)+16))</f>
        <v>0</v>
      </c>
      <c r="AB118" s="366"/>
      <c r="AC118" s="365">
        <f>ABS(INDEX(AC:AC,MATCH(AC112,$S:$S,0)+14)+INDEX(AC:AC,MATCH(AC112,$S:$S,0)+15)+INDEX(AC:AC,MATCH(AC112,$S:$S,0)+16))</f>
        <v>0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3"/>
        <v>Gesamt</v>
      </c>
      <c r="C119" s="360" t="str">
        <f t="shared" si="103"/>
        <v/>
      </c>
      <c r="D119" s="343">
        <f>IF(U119=1505,"",U119)</f>
        <v>0</v>
      </c>
      <c r="E119" s="343" t="str">
        <f>IF(V119=0,"",V119)</f>
        <v/>
      </c>
      <c r="F119" s="343">
        <f>IF(W119=1505,"",W119)</f>
        <v>0</v>
      </c>
      <c r="G119" s="343" t="str">
        <f>IF(X119=0,"",X119)</f>
        <v/>
      </c>
      <c r="H119" s="343">
        <f>IF(Y119=1505,"",Y119)</f>
        <v>0</v>
      </c>
      <c r="I119" s="343" t="str">
        <f>IF(Z119=0,"",Z119)</f>
        <v/>
      </c>
      <c r="J119" s="343">
        <f>IF(AA119=1505,"",AA119)</f>
        <v>0</v>
      </c>
      <c r="K119" s="343" t="str">
        <f>IF(AB119=0,"",AB119)</f>
        <v/>
      </c>
      <c r="L119" s="343">
        <f>IF(AC119=1505,"",AC119)</f>
        <v>0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0</v>
      </c>
      <c r="V119" s="360"/>
      <c r="W119" s="359">
        <f>SUM(W115:W118)</f>
        <v>0</v>
      </c>
      <c r="X119" s="360"/>
      <c r="Y119" s="359">
        <f>SUM(Y115:Y118)</f>
        <v>0</v>
      </c>
      <c r="Z119" s="360"/>
      <c r="AA119" s="359">
        <f>SUM(AA115:AA118)</f>
        <v>0</v>
      </c>
      <c r="AB119" s="360"/>
      <c r="AC119" s="359">
        <f>SUM(AC115:AC118)</f>
        <v>0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 t="str">
        <f>AD121</f>
        <v>27.04.</v>
      </c>
      <c r="N121" s="376"/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Schlüssel!$DI$1</f>
        <v>27.04.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">
        <v>1786</v>
      </c>
      <c r="E122" s="84" t="str">
        <f>V122</f>
        <v>Regensburg Super Bowl</v>
      </c>
      <c r="F122" s="77"/>
      <c r="G122" s="77"/>
      <c r="H122" s="77"/>
      <c r="I122" s="77"/>
      <c r="J122" s="77"/>
      <c r="K122" s="77"/>
      <c r="L122" s="29" t="str">
        <f>AC122</f>
        <v>Spieltag:</v>
      </c>
      <c r="M122" s="86">
        <f>AD122</f>
        <v>6</v>
      </c>
      <c r="N122" s="28"/>
      <c r="R122" s="49"/>
      <c r="S122" s="50">
        <v>5</v>
      </c>
      <c r="U122" s="30" t="s">
        <v>1786</v>
      </c>
      <c r="V122" s="84" t="str">
        <f>Schlüssel!$CY$2</f>
        <v>Regensburg Super Bowl</v>
      </c>
      <c r="X122" s="77"/>
      <c r="Y122" s="77"/>
      <c r="Z122" s="77"/>
      <c r="AA122" s="77"/>
      <c r="AB122" s="77"/>
      <c r="AC122" s="29" t="s">
        <v>1784</v>
      </c>
      <c r="AD122" s="34">
        <v>6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VLOOKUP(S122,Schlüssel!$A$5:$DZ$10,113)</f>
        <v>13</v>
      </c>
      <c r="W124" s="193" t="s">
        <v>10</v>
      </c>
      <c r="X124" s="191">
        <f>VLOOKUP(S122,Schlüssel!$A$5:$DZ$10,114)</f>
        <v>15</v>
      </c>
      <c r="Y124" s="193" t="s">
        <v>10</v>
      </c>
      <c r="Z124" s="191">
        <f>VLOOKUP(S122,Schlüssel!$A$5:$DZ$10,115)</f>
        <v>12</v>
      </c>
      <c r="AA124" s="193" t="s">
        <v>10</v>
      </c>
      <c r="AB124" s="191">
        <f>VLOOKUP(S122,Schlüssel!$A$5:$DZ$10,116)</f>
        <v>14</v>
      </c>
      <c r="AC124" s="193" t="s">
        <v>10</v>
      </c>
      <c r="AD124" s="192">
        <f>VLOOKUP(S122,Schlüssel!$A$5:$DZ$10,117)</f>
        <v>16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/>
      </c>
      <c r="C127" s="18" t="str">
        <f>IF(T127=0,"",T127)</f>
        <v/>
      </c>
      <c r="D127" s="14" t="str">
        <f>IF(U127=0,"",U127)</f>
        <v/>
      </c>
      <c r="E127" s="352">
        <f>IF(V127="","",V127)</f>
        <v>0</v>
      </c>
      <c r="F127" s="14" t="str">
        <f t="shared" ref="F127:F140" si="104">IF(W127=0,"",W127)</f>
        <v/>
      </c>
      <c r="G127" s="352">
        <f>IF(X127="","",X127)</f>
        <v>0</v>
      </c>
      <c r="H127" s="14" t="str">
        <f t="shared" ref="H127:H140" si="105">IF(Y127=0,"",Y127)</f>
        <v/>
      </c>
      <c r="I127" s="352">
        <f>IF(Z127="","",Z127)</f>
        <v>0</v>
      </c>
      <c r="J127" s="14" t="str">
        <f t="shared" ref="J127:J140" si="106">IF(AA127=0,"",AA127)</f>
        <v/>
      </c>
      <c r="K127" s="352">
        <f>IF(AB127="","",AB127)</f>
        <v>0</v>
      </c>
      <c r="L127" s="14" t="str">
        <f t="shared" ref="L127:L140" si="107">IF(AC127=0,"",AC127)</f>
        <v/>
      </c>
      <c r="M127" s="352">
        <f>IF(AD127="","",AD127)</f>
        <v>0</v>
      </c>
      <c r="N127" s="14" t="str">
        <f t="shared" ref="N127:N140" si="108">IF(AE127=0,"",AE127)</f>
        <v/>
      </c>
      <c r="O127" s="352">
        <f>IF(AF127="","",AF127)</f>
        <v>0</v>
      </c>
      <c r="R127" s="355" t="s">
        <v>0</v>
      </c>
      <c r="S127" s="68" t="str">
        <f>IF(T127=0,"",VLOOKUP(T127,Starter!$A$1:$D$196,2,FALSE))</f>
        <v/>
      </c>
      <c r="T127" s="175"/>
      <c r="U127" s="183"/>
      <c r="V127" s="95">
        <f>IF(SUM(U127:U129)+U145=0,0,IF(ABS(SUM(U127:U129))=U145,0.5,IF(ABS(SUM(U127:U129))&gt;U145,1,0)))</f>
        <v>0</v>
      </c>
      <c r="W127" s="183"/>
      <c r="X127" s="95">
        <f>IF(SUM(W127:W129)+W145=0,0,IF(ABS(SUM(W127:W129))=W145,0.5,IF(ABS(SUM(W127:W129))&gt;W145,1,0)))</f>
        <v>0</v>
      </c>
      <c r="Y127" s="183"/>
      <c r="Z127" s="95">
        <f>IF(SUM(Y127:Y129)+Y145=0,0,IF(ABS(SUM(Y127:Y129))=Y145,0.5,IF(ABS(SUM(Y127:Y129))&gt;Y145,1,0)))</f>
        <v>0</v>
      </c>
      <c r="AA127" s="189"/>
      <c r="AB127" s="95">
        <f>IF(SUM(AA127:AA129)+AA145=0,0,IF(ABS(SUM(AA127:AA129))=AA145,0.5,IF(ABS(SUM(AA127:AA129))&gt;AA145,1,0)))</f>
        <v>0</v>
      </c>
      <c r="AC127" s="183"/>
      <c r="AD127" s="95">
        <f>IF(SUM(AC127:AC129)+AC145=0,0,IF(ABS(SUM(AC127:AC129))=AC145,0.5,IF(ABS(SUM(AC127:AC129))&gt;AC145,1,0)))</f>
        <v>0</v>
      </c>
      <c r="AE127" s="195">
        <f t="shared" ref="AE127:AE138" si="109">ABS(SUM(U127:U127))+ABS(SUM(W127:W127))+ABS(SUM(Y127:Y127))+ABS(SUM(AA127:AA127))+ABS(SUM(AC127:AC127))</f>
        <v>0</v>
      </c>
      <c r="AF127" s="180">
        <f>SUM(V127+X127+Z127+AB127+AD127)</f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0">T127</f>
        <v>0</v>
      </c>
      <c r="BE127" s="213">
        <f t="shared" ref="BE127:BE138" si="111">AE127</f>
        <v>0</v>
      </c>
      <c r="BF127" s="215">
        <f t="shared" ref="BF127:BF138" si="112">COUNT(BH127:BL127)</f>
        <v>0</v>
      </c>
      <c r="BG127" s="215">
        <f t="shared" ref="BG127:BG138" si="113">COUNTIF(BH127:BL127,"&gt;0")</f>
        <v>0</v>
      </c>
      <c r="BH127" s="215" t="str">
        <f t="shared" ref="BH127:BH138" si="114">IF(U127=0,"",U127)</f>
        <v/>
      </c>
      <c r="BI127" s="215" t="str">
        <f t="shared" ref="BI127:BI138" si="115">IF(W127=0,"",W127)</f>
        <v/>
      </c>
      <c r="BJ127" s="215" t="str">
        <f t="shared" ref="BJ127:BJ138" si="116">IF(Y127=0,"",Y127)</f>
        <v/>
      </c>
      <c r="BK127" s="215" t="str">
        <f t="shared" ref="BK127:BK138" si="117">IF(AA127=0,"",AA127)</f>
        <v/>
      </c>
      <c r="BL127" s="215" t="str">
        <f t="shared" ref="BL127:BL138" si="118">IF(AC127=0,"",AC127)</f>
        <v/>
      </c>
      <c r="BM127" s="216"/>
      <c r="BN127" s="214"/>
      <c r="BO127" s="215">
        <f t="shared" ref="BO127:BO138" si="119">MAX(BH127:BL127)</f>
        <v>0</v>
      </c>
      <c r="BP127" s="215">
        <f t="shared" ref="BP127:BP138" si="120">IF(BO127&lt;MAX(BO:BO),0,BO127+ROW()/1000000000)</f>
        <v>1.2700000000000001E-7</v>
      </c>
      <c r="BQ127" s="215" t="str">
        <f>+S123</f>
        <v>Castra Regina Regensburg 2</v>
      </c>
      <c r="BR127" s="214">
        <f t="shared" ref="BR127:BR138" si="121">RANK(BP127,BP:BP)</f>
        <v>24</v>
      </c>
      <c r="BS127" s="215">
        <f t="shared" ref="BS127:BS138" si="122">SUMIF(BH127:BL127,"&gt;0")</f>
        <v>0</v>
      </c>
      <c r="BT127" s="215">
        <f>IF(COUNTIF(BH127:BL127,"&gt;0")&lt;Spielorte!$A$23,0,BE127/Spielorte!$A$23)</f>
        <v>0</v>
      </c>
      <c r="BU127" s="215">
        <f t="shared" ref="BU127:BU138" si="123">IF(BT127&lt;MAX(BT:BT),0,BT127+ROW()/1000000000)</f>
        <v>1.2700000000000001E-7</v>
      </c>
      <c r="BV127" s="214">
        <f t="shared" ref="BV127:BV138" si="124">IF(BU127=0,0,RANK(BU127,BU:BU))</f>
        <v>24</v>
      </c>
    </row>
    <row r="128" spans="1:74" ht="17.100000000000001" customHeight="1" x14ac:dyDescent="0.2">
      <c r="A128" s="374"/>
      <c r="B128" s="19" t="str">
        <f t="shared" ref="B128:D140" si="125">IF(S128=0,"",S128)</f>
        <v/>
      </c>
      <c r="C128" s="20" t="str">
        <f t="shared" si="125"/>
        <v/>
      </c>
      <c r="D128" s="15" t="str">
        <f t="shared" si="125"/>
        <v/>
      </c>
      <c r="E128" s="353"/>
      <c r="F128" s="15" t="str">
        <f t="shared" si="104"/>
        <v/>
      </c>
      <c r="G128" s="353"/>
      <c r="H128" s="15" t="str">
        <f t="shared" si="105"/>
        <v/>
      </c>
      <c r="I128" s="353"/>
      <c r="J128" s="15" t="str">
        <f t="shared" si="106"/>
        <v/>
      </c>
      <c r="K128" s="353"/>
      <c r="L128" s="15" t="str">
        <f t="shared" si="107"/>
        <v/>
      </c>
      <c r="M128" s="353"/>
      <c r="N128" s="15" t="str">
        <f t="shared" si="108"/>
        <v/>
      </c>
      <c r="O128" s="353"/>
      <c r="R128" s="356"/>
      <c r="S128" s="68" t="str">
        <f>IF(T128=0,"",VLOOKUP(T128,Starter!$A$1:$D$196,2,FALSE))</f>
        <v/>
      </c>
      <c r="T128" s="176"/>
      <c r="U128" s="184"/>
      <c r="V128" s="96"/>
      <c r="W128" s="184"/>
      <c r="X128" s="96"/>
      <c r="Y128" s="184"/>
      <c r="Z128" s="96"/>
      <c r="AA128" s="184"/>
      <c r="AB128" s="96"/>
      <c r="AC128" s="184"/>
      <c r="AD128" s="96"/>
      <c r="AE128" s="196">
        <f t="shared" si="109"/>
        <v>0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0"/>
        <v>0</v>
      </c>
      <c r="BE128" s="213">
        <f t="shared" si="111"/>
        <v>0</v>
      </c>
      <c r="BF128" s="215">
        <f t="shared" si="112"/>
        <v>0</v>
      </c>
      <c r="BG128" s="215">
        <f t="shared" si="113"/>
        <v>0</v>
      </c>
      <c r="BH128" s="215" t="str">
        <f t="shared" si="114"/>
        <v/>
      </c>
      <c r="BI128" s="215" t="str">
        <f t="shared" si="115"/>
        <v/>
      </c>
      <c r="BJ128" s="215" t="str">
        <f t="shared" si="116"/>
        <v/>
      </c>
      <c r="BK128" s="215" t="str">
        <f t="shared" si="117"/>
        <v/>
      </c>
      <c r="BL128" s="215" t="str">
        <f t="shared" si="118"/>
        <v/>
      </c>
      <c r="BM128" s="216"/>
      <c r="BN128" s="214"/>
      <c r="BO128" s="215">
        <f t="shared" si="119"/>
        <v>0</v>
      </c>
      <c r="BP128" s="215">
        <f t="shared" si="120"/>
        <v>1.2800000000000001E-7</v>
      </c>
      <c r="BQ128" s="215" t="str">
        <f t="shared" ref="BQ128:BQ138" si="126">+BQ127</f>
        <v>Castra Regina Regensburg 2</v>
      </c>
      <c r="BR128" s="214">
        <f t="shared" si="121"/>
        <v>23</v>
      </c>
      <c r="BS128" s="215">
        <f t="shared" si="122"/>
        <v>0</v>
      </c>
      <c r="BT128" s="215">
        <f>IF(COUNTIF(BH128:BL128,"&gt;0")&lt;Spielorte!$A$23,0,BE128/Spielorte!$A$23)</f>
        <v>0</v>
      </c>
      <c r="BU128" s="215">
        <f t="shared" si="123"/>
        <v>1.2800000000000001E-7</v>
      </c>
      <c r="BV128" s="214">
        <f t="shared" si="124"/>
        <v>23</v>
      </c>
    </row>
    <row r="129" spans="1:74" ht="17.100000000000001" customHeight="1" thickBot="1" x14ac:dyDescent="0.25">
      <c r="A129" s="375"/>
      <c r="B129" s="21" t="str">
        <f t="shared" si="125"/>
        <v/>
      </c>
      <c r="C129" s="22" t="str">
        <f t="shared" si="125"/>
        <v/>
      </c>
      <c r="D129" s="9" t="str">
        <f t="shared" si="125"/>
        <v/>
      </c>
      <c r="E129" s="354"/>
      <c r="F129" s="9" t="str">
        <f t="shared" si="104"/>
        <v/>
      </c>
      <c r="G129" s="354"/>
      <c r="H129" s="9" t="str">
        <f t="shared" si="105"/>
        <v/>
      </c>
      <c r="I129" s="354"/>
      <c r="J129" s="9" t="str">
        <f t="shared" si="106"/>
        <v/>
      </c>
      <c r="K129" s="354"/>
      <c r="L129" s="9" t="str">
        <f t="shared" si="107"/>
        <v/>
      </c>
      <c r="M129" s="354"/>
      <c r="N129" s="9" t="str">
        <f t="shared" si="108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09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0"/>
        <v>0</v>
      </c>
      <c r="BE129" s="213">
        <f t="shared" si="111"/>
        <v>0</v>
      </c>
      <c r="BF129" s="215">
        <f t="shared" si="112"/>
        <v>0</v>
      </c>
      <c r="BG129" s="215">
        <f t="shared" si="113"/>
        <v>0</v>
      </c>
      <c r="BH129" s="215" t="str">
        <f t="shared" si="114"/>
        <v/>
      </c>
      <c r="BI129" s="215" t="str">
        <f t="shared" si="115"/>
        <v/>
      </c>
      <c r="BJ129" s="215" t="str">
        <f t="shared" si="116"/>
        <v/>
      </c>
      <c r="BK129" s="215" t="str">
        <f t="shared" si="117"/>
        <v/>
      </c>
      <c r="BL129" s="215" t="str">
        <f t="shared" si="118"/>
        <v/>
      </c>
      <c r="BM129" s="216"/>
      <c r="BN129" s="214"/>
      <c r="BO129" s="215">
        <f t="shared" si="119"/>
        <v>0</v>
      </c>
      <c r="BP129" s="215">
        <f t="shared" si="120"/>
        <v>1.29E-7</v>
      </c>
      <c r="BQ129" s="215" t="str">
        <f t="shared" si="126"/>
        <v>Castra Regina Regensburg 2</v>
      </c>
      <c r="BR129" s="214">
        <f t="shared" si="121"/>
        <v>22</v>
      </c>
      <c r="BS129" s="215">
        <f t="shared" si="122"/>
        <v>0</v>
      </c>
      <c r="BT129" s="215">
        <f>IF(COUNTIF(BH129:BL129,"&gt;0")&lt;Spielorte!$A$23,0,BE129/Spielorte!$A$23)</f>
        <v>0</v>
      </c>
      <c r="BU129" s="215">
        <f t="shared" si="123"/>
        <v>1.29E-7</v>
      </c>
      <c r="BV129" s="214">
        <f t="shared" si="124"/>
        <v>22</v>
      </c>
    </row>
    <row r="130" spans="1:74" ht="17.100000000000001" customHeight="1" x14ac:dyDescent="0.2">
      <c r="A130" s="373" t="s">
        <v>2</v>
      </c>
      <c r="B130" s="17" t="str">
        <f t="shared" si="125"/>
        <v/>
      </c>
      <c r="C130" s="18" t="str">
        <f t="shared" si="125"/>
        <v/>
      </c>
      <c r="D130" s="14" t="str">
        <f t="shared" si="125"/>
        <v/>
      </c>
      <c r="E130" s="352">
        <f>IF(V130="","",V130)</f>
        <v>0</v>
      </c>
      <c r="F130" s="14" t="str">
        <f t="shared" si="104"/>
        <v/>
      </c>
      <c r="G130" s="352">
        <f>IF(X130="","",X130)</f>
        <v>0</v>
      </c>
      <c r="H130" s="14" t="str">
        <f t="shared" si="105"/>
        <v/>
      </c>
      <c r="I130" s="352">
        <f>IF(Z130="","",Z130)</f>
        <v>0</v>
      </c>
      <c r="J130" s="14" t="str">
        <f t="shared" si="106"/>
        <v/>
      </c>
      <c r="K130" s="352">
        <f>IF(AB130="","",AB130)</f>
        <v>0</v>
      </c>
      <c r="L130" s="14" t="str">
        <f t="shared" si="107"/>
        <v/>
      </c>
      <c r="M130" s="352">
        <f>IF(AD130="","",AD130)</f>
        <v>0</v>
      </c>
      <c r="N130" s="14" t="str">
        <f t="shared" si="108"/>
        <v/>
      </c>
      <c r="O130" s="352">
        <f>IF(AF130="","",AF130)</f>
        <v>0</v>
      </c>
      <c r="R130" s="355" t="s">
        <v>2</v>
      </c>
      <c r="S130" s="68" t="str">
        <f>IF(T130=0,"",VLOOKUP(T130,Starter!$A$1:$D$196,2,FALSE))</f>
        <v/>
      </c>
      <c r="T130" s="178"/>
      <c r="U130" s="186"/>
      <c r="V130" s="95">
        <f>IF(SUM(U130:U132)+U146=0,0,IF(ABS(SUM(U130:U132))=U146,0.5,IF(ABS(SUM(U130:U132))&gt;U146,1,0)))</f>
        <v>0</v>
      </c>
      <c r="W130" s="186"/>
      <c r="X130" s="95">
        <f>IF(SUM(W130:W132)+W146=0,0,IF(ABS(SUM(W130:W132))=W146,0.5,IF(ABS(SUM(W130:W132))&gt;W146,1,0)))</f>
        <v>0</v>
      </c>
      <c r="Y130" s="186"/>
      <c r="Z130" s="95">
        <f>IF(SUM(Y130:Y132)+Y146=0,0,IF(ABS(SUM(Y130:Y132))=Y146,0.5,IF(ABS(SUM(Y130:Y132))&gt;Y146,1,0)))</f>
        <v>0</v>
      </c>
      <c r="AA130" s="186"/>
      <c r="AB130" s="95">
        <f>IF(SUM(AA130:AA132)+AA146=0,0,IF(ABS(SUM(AA130:AA132))=AA146,0.5,IF(ABS(SUM(AA130:AA132))&gt;AA146,1,0)))</f>
        <v>0</v>
      </c>
      <c r="AC130" s="186"/>
      <c r="AD130" s="95">
        <f>IF(SUM(AC130:AC132)+AC146=0,0,IF(ABS(SUM(AC130:AC132))=AC146,0.5,IF(ABS(SUM(AC130:AC132))&gt;AC146,1,0)))</f>
        <v>0</v>
      </c>
      <c r="AE130" s="195">
        <f t="shared" si="109"/>
        <v>0</v>
      </c>
      <c r="AF130" s="180">
        <f>SUM(V130+X130+Z130+AB130+AD130)</f>
        <v>0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0"/>
        <v>0</v>
      </c>
      <c r="BE130" s="213">
        <f t="shared" si="111"/>
        <v>0</v>
      </c>
      <c r="BF130" s="215">
        <f t="shared" si="112"/>
        <v>0</v>
      </c>
      <c r="BG130" s="215">
        <f t="shared" si="113"/>
        <v>0</v>
      </c>
      <c r="BH130" s="215" t="str">
        <f t="shared" si="114"/>
        <v/>
      </c>
      <c r="BI130" s="215" t="str">
        <f t="shared" si="115"/>
        <v/>
      </c>
      <c r="BJ130" s="215" t="str">
        <f t="shared" si="116"/>
        <v/>
      </c>
      <c r="BK130" s="215" t="str">
        <f t="shared" si="117"/>
        <v/>
      </c>
      <c r="BL130" s="215" t="str">
        <f t="shared" si="118"/>
        <v/>
      </c>
      <c r="BM130" s="216"/>
      <c r="BN130" s="214"/>
      <c r="BO130" s="215">
        <f t="shared" si="119"/>
        <v>0</v>
      </c>
      <c r="BP130" s="215">
        <f t="shared" si="120"/>
        <v>1.3E-7</v>
      </c>
      <c r="BQ130" s="215" t="str">
        <f t="shared" si="126"/>
        <v>Castra Regina Regensburg 2</v>
      </c>
      <c r="BR130" s="214">
        <f t="shared" si="121"/>
        <v>21</v>
      </c>
      <c r="BS130" s="215">
        <f t="shared" si="122"/>
        <v>0</v>
      </c>
      <c r="BT130" s="215">
        <f>IF(COUNTIF(BH130:BL130,"&gt;0")&lt;Spielorte!$A$23,0,BE130/Spielorte!$A$23)</f>
        <v>0</v>
      </c>
      <c r="BU130" s="215">
        <f t="shared" si="123"/>
        <v>1.3E-7</v>
      </c>
      <c r="BV130" s="214">
        <f t="shared" si="124"/>
        <v>21</v>
      </c>
    </row>
    <row r="131" spans="1:74" ht="17.100000000000001" customHeight="1" x14ac:dyDescent="0.2">
      <c r="A131" s="374"/>
      <c r="B131" s="19" t="str">
        <f t="shared" si="125"/>
        <v/>
      </c>
      <c r="C131" s="20" t="str">
        <f t="shared" si="125"/>
        <v/>
      </c>
      <c r="D131" s="15" t="str">
        <f t="shared" si="125"/>
        <v/>
      </c>
      <c r="E131" s="353"/>
      <c r="F131" s="15" t="str">
        <f t="shared" si="104"/>
        <v/>
      </c>
      <c r="G131" s="353"/>
      <c r="H131" s="15" t="str">
        <f t="shared" si="105"/>
        <v/>
      </c>
      <c r="I131" s="353"/>
      <c r="J131" s="15" t="str">
        <f t="shared" si="106"/>
        <v/>
      </c>
      <c r="K131" s="353"/>
      <c r="L131" s="15" t="str">
        <f t="shared" si="107"/>
        <v/>
      </c>
      <c r="M131" s="353"/>
      <c r="N131" s="15" t="str">
        <f t="shared" si="108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09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0"/>
        <v>0</v>
      </c>
      <c r="BE131" s="213">
        <f t="shared" si="111"/>
        <v>0</v>
      </c>
      <c r="BF131" s="215">
        <f t="shared" si="112"/>
        <v>0</v>
      </c>
      <c r="BG131" s="215">
        <f t="shared" si="113"/>
        <v>0</v>
      </c>
      <c r="BH131" s="215" t="str">
        <f t="shared" si="114"/>
        <v/>
      </c>
      <c r="BI131" s="215" t="str">
        <f t="shared" si="115"/>
        <v/>
      </c>
      <c r="BJ131" s="215" t="str">
        <f t="shared" si="116"/>
        <v/>
      </c>
      <c r="BK131" s="215" t="str">
        <f t="shared" si="117"/>
        <v/>
      </c>
      <c r="BL131" s="215" t="str">
        <f t="shared" si="118"/>
        <v/>
      </c>
      <c r="BM131" s="216"/>
      <c r="BN131" s="214"/>
      <c r="BO131" s="215">
        <f t="shared" si="119"/>
        <v>0</v>
      </c>
      <c r="BP131" s="215">
        <f t="shared" si="120"/>
        <v>1.31E-7</v>
      </c>
      <c r="BQ131" s="215" t="str">
        <f t="shared" si="126"/>
        <v>Castra Regina Regensburg 2</v>
      </c>
      <c r="BR131" s="214">
        <f t="shared" si="121"/>
        <v>20</v>
      </c>
      <c r="BS131" s="215">
        <f t="shared" si="122"/>
        <v>0</v>
      </c>
      <c r="BT131" s="215">
        <f>IF(COUNTIF(BH131:BL131,"&gt;0")&lt;Spielorte!$A$23,0,BE131/Spielorte!$A$23)</f>
        <v>0</v>
      </c>
      <c r="BU131" s="215">
        <f t="shared" si="123"/>
        <v>1.31E-7</v>
      </c>
      <c r="BV131" s="214">
        <f t="shared" si="124"/>
        <v>20</v>
      </c>
    </row>
    <row r="132" spans="1:74" ht="17.100000000000001" customHeight="1" thickBot="1" x14ac:dyDescent="0.25">
      <c r="A132" s="375"/>
      <c r="B132" s="21" t="str">
        <f t="shared" si="125"/>
        <v/>
      </c>
      <c r="C132" s="22" t="str">
        <f t="shared" si="125"/>
        <v/>
      </c>
      <c r="D132" s="9" t="str">
        <f t="shared" si="125"/>
        <v/>
      </c>
      <c r="E132" s="354"/>
      <c r="F132" s="9" t="str">
        <f t="shared" si="104"/>
        <v/>
      </c>
      <c r="G132" s="354"/>
      <c r="H132" s="9" t="str">
        <f t="shared" si="105"/>
        <v/>
      </c>
      <c r="I132" s="354"/>
      <c r="J132" s="9" t="str">
        <f t="shared" si="106"/>
        <v/>
      </c>
      <c r="K132" s="354"/>
      <c r="L132" s="9" t="str">
        <f t="shared" si="107"/>
        <v/>
      </c>
      <c r="M132" s="354"/>
      <c r="N132" s="9" t="str">
        <f t="shared" si="108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09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0"/>
        <v>0</v>
      </c>
      <c r="BE132" s="213">
        <f t="shared" si="111"/>
        <v>0</v>
      </c>
      <c r="BF132" s="215">
        <f t="shared" si="112"/>
        <v>0</v>
      </c>
      <c r="BG132" s="215">
        <f t="shared" si="113"/>
        <v>0</v>
      </c>
      <c r="BH132" s="215" t="str">
        <f t="shared" si="114"/>
        <v/>
      </c>
      <c r="BI132" s="215" t="str">
        <f t="shared" si="115"/>
        <v/>
      </c>
      <c r="BJ132" s="215" t="str">
        <f t="shared" si="116"/>
        <v/>
      </c>
      <c r="BK132" s="215" t="str">
        <f t="shared" si="117"/>
        <v/>
      </c>
      <c r="BL132" s="215" t="str">
        <f t="shared" si="118"/>
        <v/>
      </c>
      <c r="BM132" s="216"/>
      <c r="BN132" s="214"/>
      <c r="BO132" s="215">
        <f t="shared" si="119"/>
        <v>0</v>
      </c>
      <c r="BP132" s="215">
        <f t="shared" si="120"/>
        <v>1.3199999999999999E-7</v>
      </c>
      <c r="BQ132" s="215" t="str">
        <f t="shared" si="126"/>
        <v>Castra Regina Regensburg 2</v>
      </c>
      <c r="BR132" s="214">
        <f t="shared" si="121"/>
        <v>19</v>
      </c>
      <c r="BS132" s="215">
        <f t="shared" si="122"/>
        <v>0</v>
      </c>
      <c r="BT132" s="215">
        <f>IF(COUNTIF(BH132:BL132,"&gt;0")&lt;Spielorte!$A$23,0,BE132/Spielorte!$A$23)</f>
        <v>0</v>
      </c>
      <c r="BU132" s="215">
        <f t="shared" si="123"/>
        <v>1.3199999999999999E-7</v>
      </c>
      <c r="BV132" s="214">
        <f t="shared" si="124"/>
        <v>19</v>
      </c>
    </row>
    <row r="133" spans="1:74" ht="17.100000000000001" customHeight="1" x14ac:dyDescent="0.2">
      <c r="A133" s="373" t="s">
        <v>3</v>
      </c>
      <c r="B133" s="17" t="str">
        <f t="shared" si="125"/>
        <v/>
      </c>
      <c r="C133" s="18" t="str">
        <f t="shared" si="125"/>
        <v/>
      </c>
      <c r="D133" s="14" t="str">
        <f t="shared" si="125"/>
        <v/>
      </c>
      <c r="E133" s="352">
        <f>IF(V133="","",V133)</f>
        <v>0</v>
      </c>
      <c r="F133" s="14" t="str">
        <f t="shared" si="104"/>
        <v/>
      </c>
      <c r="G133" s="352">
        <f>IF(X133="","",X133)</f>
        <v>0</v>
      </c>
      <c r="H133" s="14" t="str">
        <f t="shared" si="105"/>
        <v/>
      </c>
      <c r="I133" s="352">
        <f>IF(Z133="","",Z133)</f>
        <v>0</v>
      </c>
      <c r="J133" s="14" t="str">
        <f t="shared" si="106"/>
        <v/>
      </c>
      <c r="K133" s="352">
        <f>IF(AB133="","",AB133)</f>
        <v>0</v>
      </c>
      <c r="L133" s="14" t="str">
        <f t="shared" si="107"/>
        <v/>
      </c>
      <c r="M133" s="352">
        <f>IF(AD133="","",AD133)</f>
        <v>0</v>
      </c>
      <c r="N133" s="14" t="str">
        <f t="shared" si="108"/>
        <v/>
      </c>
      <c r="O133" s="352">
        <f>IF(AF133="","",AF133)</f>
        <v>0</v>
      </c>
      <c r="R133" s="355" t="s">
        <v>3</v>
      </c>
      <c r="S133" s="68" t="str">
        <f>IF(T133=0,"",VLOOKUP(T133,Starter!$A$1:$D$196,2,FALSE))</f>
        <v/>
      </c>
      <c r="T133" s="178"/>
      <c r="U133" s="186"/>
      <c r="V133" s="95">
        <f>IF(SUM(U133:U135)+U147=0,0,IF(ABS(SUM(U133:U135))=U147,0.5,IF(ABS(SUM(U133:U135))&gt;U147,1,0)))</f>
        <v>0</v>
      </c>
      <c r="W133" s="186"/>
      <c r="X133" s="95">
        <f>IF(SUM(W133:W135)+W147=0,0,IF(ABS(SUM(W133:W135))=W147,0.5,IF(ABS(SUM(W133:W135))&gt;W147,1,0)))</f>
        <v>0</v>
      </c>
      <c r="Y133" s="186"/>
      <c r="Z133" s="95">
        <f>IF(SUM(Y133:Y135)+Y147=0,0,IF(ABS(SUM(Y133:Y135))=Y147,0.5,IF(ABS(SUM(Y133:Y135))&gt;Y147,1,0)))</f>
        <v>0</v>
      </c>
      <c r="AA133" s="186"/>
      <c r="AB133" s="95">
        <f>IF(SUM(AA133:AA135)+AA147=0,0,IF(ABS(SUM(AA133:AA135))=AA147,0.5,IF(ABS(SUM(AA133:AA135))&gt;AA147,1,0)))</f>
        <v>0</v>
      </c>
      <c r="AC133" s="186"/>
      <c r="AD133" s="95">
        <f>IF(SUM(AC133:AC135)+AC147=0,0,IF(ABS(SUM(AC133:AC135))=AC147,0.5,IF(ABS(SUM(AC133:AC135))&gt;AC147,1,0)))</f>
        <v>0</v>
      </c>
      <c r="AE133" s="195">
        <f t="shared" si="109"/>
        <v>0</v>
      </c>
      <c r="AF133" s="180">
        <f>SUM(V133+X133+Z133+AB133+AD133)</f>
        <v>0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0"/>
        <v>0</v>
      </c>
      <c r="BE133" s="213">
        <f t="shared" si="111"/>
        <v>0</v>
      </c>
      <c r="BF133" s="215">
        <f t="shared" si="112"/>
        <v>0</v>
      </c>
      <c r="BG133" s="215">
        <f t="shared" si="113"/>
        <v>0</v>
      </c>
      <c r="BH133" s="215" t="str">
        <f t="shared" si="114"/>
        <v/>
      </c>
      <c r="BI133" s="215" t="str">
        <f t="shared" si="115"/>
        <v/>
      </c>
      <c r="BJ133" s="215" t="str">
        <f t="shared" si="116"/>
        <v/>
      </c>
      <c r="BK133" s="215" t="str">
        <f t="shared" si="117"/>
        <v/>
      </c>
      <c r="BL133" s="215" t="str">
        <f t="shared" si="118"/>
        <v/>
      </c>
      <c r="BM133" s="216"/>
      <c r="BN133" s="214"/>
      <c r="BO133" s="215">
        <f t="shared" si="119"/>
        <v>0</v>
      </c>
      <c r="BP133" s="215">
        <f t="shared" si="120"/>
        <v>1.3300000000000001E-7</v>
      </c>
      <c r="BQ133" s="215" t="str">
        <f t="shared" si="126"/>
        <v>Castra Regina Regensburg 2</v>
      </c>
      <c r="BR133" s="214">
        <f t="shared" si="121"/>
        <v>18</v>
      </c>
      <c r="BS133" s="215">
        <f t="shared" si="122"/>
        <v>0</v>
      </c>
      <c r="BT133" s="215">
        <f>IF(COUNTIF(BH133:BL133,"&gt;0")&lt;Spielorte!$A$23,0,BE133/Spielorte!$A$23)</f>
        <v>0</v>
      </c>
      <c r="BU133" s="215">
        <f t="shared" si="123"/>
        <v>1.3300000000000001E-7</v>
      </c>
      <c r="BV133" s="214">
        <f t="shared" si="124"/>
        <v>18</v>
      </c>
    </row>
    <row r="134" spans="1:74" ht="17.100000000000001" customHeight="1" x14ac:dyDescent="0.2">
      <c r="A134" s="374"/>
      <c r="B134" s="19" t="str">
        <f t="shared" si="125"/>
        <v/>
      </c>
      <c r="C134" s="20" t="str">
        <f t="shared" si="125"/>
        <v/>
      </c>
      <c r="D134" s="15" t="str">
        <f t="shared" si="125"/>
        <v/>
      </c>
      <c r="E134" s="353"/>
      <c r="F134" s="15" t="str">
        <f t="shared" si="104"/>
        <v/>
      </c>
      <c r="G134" s="353"/>
      <c r="H134" s="15" t="str">
        <f t="shared" si="105"/>
        <v/>
      </c>
      <c r="I134" s="353"/>
      <c r="J134" s="15" t="str">
        <f t="shared" si="106"/>
        <v/>
      </c>
      <c r="K134" s="353"/>
      <c r="L134" s="15" t="str">
        <f t="shared" si="107"/>
        <v/>
      </c>
      <c r="M134" s="353"/>
      <c r="N134" s="15" t="str">
        <f t="shared" si="108"/>
        <v/>
      </c>
      <c r="O134" s="353"/>
      <c r="R134" s="356"/>
      <c r="S134" s="68" t="str">
        <f>IF(T134=0,"",VLOOKUP(T134,Starter!$A$1:$D$196,2,FALSE))</f>
        <v/>
      </c>
      <c r="T134" s="176"/>
      <c r="U134" s="184"/>
      <c r="V134" s="96"/>
      <c r="W134" s="184"/>
      <c r="X134" s="96"/>
      <c r="Y134" s="184"/>
      <c r="Z134" s="96"/>
      <c r="AA134" s="184"/>
      <c r="AB134" s="96"/>
      <c r="AC134" s="184"/>
      <c r="AD134" s="96"/>
      <c r="AE134" s="196">
        <f t="shared" si="109"/>
        <v>0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0"/>
        <v>0</v>
      </c>
      <c r="BE134" s="213">
        <f t="shared" si="111"/>
        <v>0</v>
      </c>
      <c r="BF134" s="215">
        <f t="shared" si="112"/>
        <v>0</v>
      </c>
      <c r="BG134" s="215">
        <f t="shared" si="113"/>
        <v>0</v>
      </c>
      <c r="BH134" s="215" t="str">
        <f t="shared" si="114"/>
        <v/>
      </c>
      <c r="BI134" s="215" t="str">
        <f t="shared" si="115"/>
        <v/>
      </c>
      <c r="BJ134" s="215" t="str">
        <f t="shared" si="116"/>
        <v/>
      </c>
      <c r="BK134" s="215" t="str">
        <f t="shared" si="117"/>
        <v/>
      </c>
      <c r="BL134" s="215" t="str">
        <f t="shared" si="118"/>
        <v/>
      </c>
      <c r="BM134" s="216"/>
      <c r="BN134" s="214"/>
      <c r="BO134" s="215">
        <f t="shared" si="119"/>
        <v>0</v>
      </c>
      <c r="BP134" s="215">
        <f t="shared" si="120"/>
        <v>1.3400000000000001E-7</v>
      </c>
      <c r="BQ134" s="215" t="str">
        <f t="shared" si="126"/>
        <v>Castra Regina Regensburg 2</v>
      </c>
      <c r="BR134" s="214">
        <f t="shared" si="121"/>
        <v>17</v>
      </c>
      <c r="BS134" s="215">
        <f t="shared" si="122"/>
        <v>0</v>
      </c>
      <c r="BT134" s="215">
        <f>IF(COUNTIF(BH134:BL134,"&gt;0")&lt;Spielorte!$A$23,0,BE134/Spielorte!$A$23)</f>
        <v>0</v>
      </c>
      <c r="BU134" s="215">
        <f t="shared" si="123"/>
        <v>1.3400000000000001E-7</v>
      </c>
      <c r="BV134" s="214">
        <f t="shared" si="124"/>
        <v>17</v>
      </c>
    </row>
    <row r="135" spans="1:74" ht="17.100000000000001" customHeight="1" thickBot="1" x14ac:dyDescent="0.25">
      <c r="A135" s="375"/>
      <c r="B135" s="21" t="str">
        <f t="shared" si="125"/>
        <v/>
      </c>
      <c r="C135" s="22" t="str">
        <f t="shared" si="125"/>
        <v/>
      </c>
      <c r="D135" s="9" t="str">
        <f t="shared" si="125"/>
        <v/>
      </c>
      <c r="E135" s="354"/>
      <c r="F135" s="9" t="str">
        <f t="shared" si="104"/>
        <v/>
      </c>
      <c r="G135" s="354"/>
      <c r="H135" s="9" t="str">
        <f t="shared" si="105"/>
        <v/>
      </c>
      <c r="I135" s="354"/>
      <c r="J135" s="9" t="str">
        <f t="shared" si="106"/>
        <v/>
      </c>
      <c r="K135" s="354"/>
      <c r="L135" s="9" t="str">
        <f t="shared" si="107"/>
        <v/>
      </c>
      <c r="M135" s="354"/>
      <c r="N135" s="9" t="str">
        <f t="shared" si="108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09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0"/>
        <v>0</v>
      </c>
      <c r="BE135" s="213">
        <f t="shared" si="111"/>
        <v>0</v>
      </c>
      <c r="BF135" s="215">
        <f t="shared" si="112"/>
        <v>0</v>
      </c>
      <c r="BG135" s="215">
        <f t="shared" si="113"/>
        <v>0</v>
      </c>
      <c r="BH135" s="215" t="str">
        <f t="shared" si="114"/>
        <v/>
      </c>
      <c r="BI135" s="215" t="str">
        <f t="shared" si="115"/>
        <v/>
      </c>
      <c r="BJ135" s="215" t="str">
        <f t="shared" si="116"/>
        <v/>
      </c>
      <c r="BK135" s="215" t="str">
        <f t="shared" si="117"/>
        <v/>
      </c>
      <c r="BL135" s="215" t="str">
        <f t="shared" si="118"/>
        <v/>
      </c>
      <c r="BM135" s="216"/>
      <c r="BN135" s="214"/>
      <c r="BO135" s="215">
        <f t="shared" si="119"/>
        <v>0</v>
      </c>
      <c r="BP135" s="215">
        <f t="shared" si="120"/>
        <v>1.35E-7</v>
      </c>
      <c r="BQ135" s="215" t="str">
        <f t="shared" si="126"/>
        <v>Castra Regina Regensburg 2</v>
      </c>
      <c r="BR135" s="214">
        <f t="shared" si="121"/>
        <v>16</v>
      </c>
      <c r="BS135" s="215">
        <f t="shared" si="122"/>
        <v>0</v>
      </c>
      <c r="BT135" s="215">
        <f>IF(COUNTIF(BH135:BL135,"&gt;0")&lt;Spielorte!$A$23,0,BE135/Spielorte!$A$23)</f>
        <v>0</v>
      </c>
      <c r="BU135" s="215">
        <f t="shared" si="123"/>
        <v>1.35E-7</v>
      </c>
      <c r="BV135" s="214">
        <f t="shared" si="124"/>
        <v>16</v>
      </c>
    </row>
    <row r="136" spans="1:74" ht="17.100000000000001" customHeight="1" x14ac:dyDescent="0.2">
      <c r="A136" s="373" t="s">
        <v>11</v>
      </c>
      <c r="B136" s="17" t="str">
        <f>IF(S136=0,"",S136)</f>
        <v/>
      </c>
      <c r="C136" s="18" t="str">
        <f t="shared" si="125"/>
        <v/>
      </c>
      <c r="D136" s="14" t="str">
        <f t="shared" si="125"/>
        <v/>
      </c>
      <c r="E136" s="352">
        <f>IF(V136="","",V136)</f>
        <v>0</v>
      </c>
      <c r="F136" s="14" t="str">
        <f t="shared" si="104"/>
        <v/>
      </c>
      <c r="G136" s="352">
        <f>IF(X136="","",X136)</f>
        <v>0</v>
      </c>
      <c r="H136" s="14" t="str">
        <f t="shared" si="105"/>
        <v/>
      </c>
      <c r="I136" s="352">
        <f>IF(Z136="","",Z136)</f>
        <v>0</v>
      </c>
      <c r="J136" s="14" t="str">
        <f t="shared" si="106"/>
        <v/>
      </c>
      <c r="K136" s="352">
        <f>IF(AB136="","",AB136)</f>
        <v>0</v>
      </c>
      <c r="L136" s="14" t="str">
        <f t="shared" si="107"/>
        <v/>
      </c>
      <c r="M136" s="352">
        <f>IF(AD136="","",AD136)</f>
        <v>0</v>
      </c>
      <c r="N136" s="14" t="str">
        <f t="shared" si="108"/>
        <v/>
      </c>
      <c r="O136" s="352">
        <f>IF(AF136="","",AF136)</f>
        <v>0</v>
      </c>
      <c r="R136" s="355" t="s">
        <v>11</v>
      </c>
      <c r="S136" s="68" t="str">
        <f>IF(T136=0,"",VLOOKUP(T136,Starter!$A$1:$D$196,2,FALSE))</f>
        <v/>
      </c>
      <c r="T136" s="178"/>
      <c r="U136" s="186"/>
      <c r="V136" s="95">
        <f>IF(SUM(U136:U138)+U148=0,0,IF(ABS(SUM(U136:U138))=U148,0.5,IF(ABS(SUM(U136:U138))&gt;U148,1,0)))</f>
        <v>0</v>
      </c>
      <c r="W136" s="186"/>
      <c r="X136" s="95">
        <f>IF(SUM(W136:W138)+W148=0,0,IF(ABS(SUM(W136:W138))=W148,0.5,IF(ABS(SUM(W136:W138))&gt;W148,1,0)))</f>
        <v>0</v>
      </c>
      <c r="Y136" s="186"/>
      <c r="Z136" s="95">
        <f>IF(SUM(Y136:Y138)+Y148=0,0,IF(ABS(SUM(Y136:Y138))=Y148,0.5,IF(ABS(SUM(Y136:Y138))&gt;Y148,1,0)))</f>
        <v>0</v>
      </c>
      <c r="AA136" s="186"/>
      <c r="AB136" s="95">
        <f>IF(SUM(AA136:AA138)+AA148=0,0,IF(ABS(SUM(AA136:AA138))=AA148,0.5,IF(ABS(SUM(AA136:AA138))&gt;AA148,1,0)))</f>
        <v>0</v>
      </c>
      <c r="AC136" s="186"/>
      <c r="AD136" s="95">
        <f>IF(SUM(AC136:AC138)+AC148=0,0,IF(ABS(SUM(AC136:AC138))=AC148,0.5,IF(ABS(SUM(AC136:AC138))&gt;AC148,1,0)))</f>
        <v>0</v>
      </c>
      <c r="AE136" s="195">
        <f t="shared" si="109"/>
        <v>0</v>
      </c>
      <c r="AF136" s="180">
        <f>SUM(V136+X136+Z136+AB136+AD136)</f>
        <v>0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0"/>
        <v>0</v>
      </c>
      <c r="BE136" s="213">
        <f t="shared" si="111"/>
        <v>0</v>
      </c>
      <c r="BF136" s="215">
        <f t="shared" si="112"/>
        <v>0</v>
      </c>
      <c r="BG136" s="215">
        <f t="shared" si="113"/>
        <v>0</v>
      </c>
      <c r="BH136" s="215" t="str">
        <f t="shared" si="114"/>
        <v/>
      </c>
      <c r="BI136" s="215" t="str">
        <f t="shared" si="115"/>
        <v/>
      </c>
      <c r="BJ136" s="215" t="str">
        <f t="shared" si="116"/>
        <v/>
      </c>
      <c r="BK136" s="215" t="str">
        <f t="shared" si="117"/>
        <v/>
      </c>
      <c r="BL136" s="215" t="str">
        <f t="shared" si="118"/>
        <v/>
      </c>
      <c r="BM136" s="216"/>
      <c r="BN136" s="214"/>
      <c r="BO136" s="215">
        <f t="shared" si="119"/>
        <v>0</v>
      </c>
      <c r="BP136" s="215">
        <f t="shared" si="120"/>
        <v>1.36E-7</v>
      </c>
      <c r="BQ136" s="215" t="str">
        <f t="shared" si="126"/>
        <v>Castra Regina Regensburg 2</v>
      </c>
      <c r="BR136" s="214">
        <f t="shared" si="121"/>
        <v>15</v>
      </c>
      <c r="BS136" s="215">
        <f t="shared" si="122"/>
        <v>0</v>
      </c>
      <c r="BT136" s="215">
        <f>IF(COUNTIF(BH136:BL136,"&gt;0")&lt;Spielorte!$A$23,0,BE136/Spielorte!$A$23)</f>
        <v>0</v>
      </c>
      <c r="BU136" s="215">
        <f t="shared" si="123"/>
        <v>1.36E-7</v>
      </c>
      <c r="BV136" s="214">
        <f t="shared" si="124"/>
        <v>15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25"/>
        <v/>
      </c>
      <c r="D137" s="15" t="str">
        <f t="shared" si="125"/>
        <v/>
      </c>
      <c r="E137" s="353"/>
      <c r="F137" s="15" t="str">
        <f t="shared" si="104"/>
        <v/>
      </c>
      <c r="G137" s="353"/>
      <c r="H137" s="15" t="str">
        <f t="shared" si="105"/>
        <v/>
      </c>
      <c r="I137" s="353"/>
      <c r="J137" s="15" t="str">
        <f t="shared" si="106"/>
        <v/>
      </c>
      <c r="K137" s="353"/>
      <c r="L137" s="15" t="str">
        <f t="shared" si="107"/>
        <v/>
      </c>
      <c r="M137" s="353"/>
      <c r="N137" s="15" t="str">
        <f t="shared" si="108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09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0"/>
        <v>0</v>
      </c>
      <c r="BE137" s="213">
        <f t="shared" si="111"/>
        <v>0</v>
      </c>
      <c r="BF137" s="215">
        <f t="shared" si="112"/>
        <v>0</v>
      </c>
      <c r="BG137" s="215">
        <f t="shared" si="113"/>
        <v>0</v>
      </c>
      <c r="BH137" s="215" t="str">
        <f t="shared" si="114"/>
        <v/>
      </c>
      <c r="BI137" s="215" t="str">
        <f t="shared" si="115"/>
        <v/>
      </c>
      <c r="BJ137" s="215" t="str">
        <f t="shared" si="116"/>
        <v/>
      </c>
      <c r="BK137" s="215" t="str">
        <f t="shared" si="117"/>
        <v/>
      </c>
      <c r="BL137" s="215" t="str">
        <f t="shared" si="118"/>
        <v/>
      </c>
      <c r="BM137" s="216"/>
      <c r="BN137" s="214"/>
      <c r="BO137" s="215">
        <f t="shared" si="119"/>
        <v>0</v>
      </c>
      <c r="BP137" s="215">
        <f t="shared" si="120"/>
        <v>1.37E-7</v>
      </c>
      <c r="BQ137" s="215" t="str">
        <f t="shared" si="126"/>
        <v>Castra Regina Regensburg 2</v>
      </c>
      <c r="BR137" s="214">
        <f t="shared" si="121"/>
        <v>14</v>
      </c>
      <c r="BS137" s="215">
        <f t="shared" si="122"/>
        <v>0</v>
      </c>
      <c r="BT137" s="215">
        <f>IF(COUNTIF(BH137:BL137,"&gt;0")&lt;Spielorte!$A$23,0,BE137/Spielorte!$A$23)</f>
        <v>0</v>
      </c>
      <c r="BU137" s="215">
        <f t="shared" si="123"/>
        <v>1.37E-7</v>
      </c>
      <c r="BV137" s="214">
        <f t="shared" si="124"/>
        <v>14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25"/>
        <v/>
      </c>
      <c r="D138" s="9" t="str">
        <f t="shared" si="125"/>
        <v/>
      </c>
      <c r="E138" s="354"/>
      <c r="F138" s="9" t="str">
        <f t="shared" si="104"/>
        <v/>
      </c>
      <c r="G138" s="354"/>
      <c r="H138" s="9" t="str">
        <f t="shared" si="105"/>
        <v/>
      </c>
      <c r="I138" s="354"/>
      <c r="J138" s="9" t="str">
        <f t="shared" si="106"/>
        <v/>
      </c>
      <c r="K138" s="354"/>
      <c r="L138" s="9" t="str">
        <f t="shared" si="107"/>
        <v/>
      </c>
      <c r="M138" s="354"/>
      <c r="N138" s="9" t="str">
        <f t="shared" si="108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09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0"/>
        <v>0</v>
      </c>
      <c r="BE138" s="213">
        <f t="shared" si="111"/>
        <v>0</v>
      </c>
      <c r="BF138" s="215">
        <f t="shared" si="112"/>
        <v>0</v>
      </c>
      <c r="BG138" s="215">
        <f t="shared" si="113"/>
        <v>0</v>
      </c>
      <c r="BH138" s="215" t="str">
        <f t="shared" si="114"/>
        <v/>
      </c>
      <c r="BI138" s="215" t="str">
        <f t="shared" si="115"/>
        <v/>
      </c>
      <c r="BJ138" s="215" t="str">
        <f t="shared" si="116"/>
        <v/>
      </c>
      <c r="BK138" s="215" t="str">
        <f t="shared" si="117"/>
        <v/>
      </c>
      <c r="BL138" s="215" t="str">
        <f t="shared" si="118"/>
        <v/>
      </c>
      <c r="BM138" s="216"/>
      <c r="BN138" s="214"/>
      <c r="BO138" s="215">
        <f t="shared" si="119"/>
        <v>0</v>
      </c>
      <c r="BP138" s="215">
        <f t="shared" si="120"/>
        <v>1.3799999999999999E-7</v>
      </c>
      <c r="BQ138" s="215" t="str">
        <f t="shared" si="126"/>
        <v>Castra Regina Regensburg 2</v>
      </c>
      <c r="BR138" s="214">
        <f t="shared" si="121"/>
        <v>13</v>
      </c>
      <c r="BS138" s="215">
        <f t="shared" si="122"/>
        <v>0</v>
      </c>
      <c r="BT138" s="215">
        <f>IF(COUNTIF(BH138:BL138,"&gt;0")&lt;Spielorte!$A$23,0,BE138/Spielorte!$A$23)</f>
        <v>0</v>
      </c>
      <c r="BU138" s="215">
        <f t="shared" si="123"/>
        <v>1.3799999999999999E-7</v>
      </c>
      <c r="BV138" s="214">
        <f t="shared" si="124"/>
        <v>13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25"/>
        <v/>
      </c>
      <c r="D139" s="16" t="str">
        <f t="shared" si="125"/>
        <v/>
      </c>
      <c r="E139" s="12">
        <f>IF(V139="","",V139)</f>
        <v>0</v>
      </c>
      <c r="F139" s="16" t="str">
        <f t="shared" si="104"/>
        <v/>
      </c>
      <c r="G139" s="12">
        <f>IF(X139="","",X139)</f>
        <v>0</v>
      </c>
      <c r="H139" s="16" t="str">
        <f t="shared" si="105"/>
        <v/>
      </c>
      <c r="I139" s="12">
        <f>IF(Z139="","",Z139)</f>
        <v>0</v>
      </c>
      <c r="J139" s="16" t="str">
        <f t="shared" si="106"/>
        <v/>
      </c>
      <c r="K139" s="12">
        <f>IF(AB139="","",AB139)</f>
        <v>0</v>
      </c>
      <c r="L139" s="16" t="str">
        <f t="shared" si="107"/>
        <v/>
      </c>
      <c r="M139" s="12">
        <f>IF(AD139="","",AD139)</f>
        <v>0</v>
      </c>
      <c r="N139" s="16" t="str">
        <f t="shared" si="108"/>
        <v/>
      </c>
      <c r="O139" s="12">
        <f>IF(AF139="","",AF139)</f>
        <v>0</v>
      </c>
      <c r="S139" s="11" t="s">
        <v>1791</v>
      </c>
      <c r="T139" s="71"/>
      <c r="U139" s="188">
        <f>ABS(SUM(U127:U129))+ABS(SUM(U130:U132))+ABS(SUM(U133:U135))+ABS(SUM(U136:U138))</f>
        <v>0</v>
      </c>
      <c r="V139" s="98">
        <f>IF(U139+U149=0,0,IF(U139=U149,1,IF(U139&gt;U149,2,0)))</f>
        <v>0</v>
      </c>
      <c r="W139" s="188">
        <f>ABS(SUM(W127:W129))+ABS(SUM(W130:W132))+ABS(SUM(W133:W135))+ABS(SUM(W136:W138))</f>
        <v>0</v>
      </c>
      <c r="X139" s="98">
        <f>IF(W139+W149=0,0,IF(W139=W149,1,IF(W139&gt;W149,2,0)))</f>
        <v>0</v>
      </c>
      <c r="Y139" s="188">
        <f>ABS(SUM(Y127:Y129))+ABS(SUM(Y130:Y132))+ABS(SUM(Y133:Y135))+ABS(SUM(Y136:Y138))</f>
        <v>0</v>
      </c>
      <c r="Z139" s="98">
        <f>IF(Y139+Y149=0,0,IF(Y139=Y149,1,IF(Y139&gt;Y149,2,0)))</f>
        <v>0</v>
      </c>
      <c r="AA139" s="188">
        <f>ABS(SUM(AA127:AA129))+ABS(SUM(AA130:AA132))+ABS(SUM(AA133:AA135))+ABS(SUM(AA136:AA138))</f>
        <v>0</v>
      </c>
      <c r="AB139" s="98">
        <f>IF(AA139+AA149=0,0,IF(AA139=AA149,1,IF(AA139&gt;AA149,2,0)))</f>
        <v>0</v>
      </c>
      <c r="AC139" s="188">
        <f>ABS(SUM(AC127:AC129))+ABS(SUM(AC130:AC132))+ABS(SUM(AC133:AC135))+ABS(SUM(AC136:AC138))</f>
        <v>0</v>
      </c>
      <c r="AD139" s="98">
        <f>IF(AC139+AC149=0,0,IF(AC139=AC149,1,IF(AC139&gt;AC149,2,0)))</f>
        <v>0</v>
      </c>
      <c r="AE139" s="198">
        <f>SUM(U139+W139+Y139+AA139+AC139)</f>
        <v>0</v>
      </c>
      <c r="AF139" s="12">
        <f>SUM(V139+X139+Z139+AB139+AD139)</f>
        <v>0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25"/>
        <v/>
      </c>
      <c r="D140" s="1" t="str">
        <f t="shared" si="125"/>
        <v/>
      </c>
      <c r="E140" s="23">
        <f>IF(V140="","",V140)</f>
        <v>0</v>
      </c>
      <c r="F140" s="1" t="str">
        <f t="shared" si="104"/>
        <v/>
      </c>
      <c r="G140" s="23">
        <f>IF(X140="","",X140)</f>
        <v>0</v>
      </c>
      <c r="H140" s="1" t="str">
        <f t="shared" si="105"/>
        <v/>
      </c>
      <c r="I140" s="23">
        <f>IF(Z140="","",Z140)</f>
        <v>0</v>
      </c>
      <c r="J140" s="1" t="str">
        <f t="shared" si="106"/>
        <v/>
      </c>
      <c r="K140" s="23">
        <f>IF(AB140="","",AB140)</f>
        <v>0</v>
      </c>
      <c r="L140" s="1" t="str">
        <f t="shared" si="107"/>
        <v/>
      </c>
      <c r="M140" s="23">
        <f>IF(AD140="","",AD140)</f>
        <v>0</v>
      </c>
      <c r="N140" s="1" t="str">
        <f t="shared" si="108"/>
        <v/>
      </c>
      <c r="O140" s="23">
        <f>IF(AF140="","",AF140)</f>
        <v>0</v>
      </c>
      <c r="S140" s="8" t="s">
        <v>1802</v>
      </c>
      <c r="T140" s="1"/>
      <c r="U140" s="1"/>
      <c r="V140" s="72">
        <f>SUM(V127:V139)</f>
        <v>0</v>
      </c>
      <c r="W140" s="1"/>
      <c r="X140" s="72">
        <f>SUM(X127:X139)</f>
        <v>0</v>
      </c>
      <c r="Y140" s="1"/>
      <c r="Z140" s="72">
        <f>SUM(Z127:Z139)</f>
        <v>0</v>
      </c>
      <c r="AA140" s="1"/>
      <c r="AB140" s="72">
        <f>SUM(AB127:AB139)</f>
        <v>0</v>
      </c>
      <c r="AC140" s="1"/>
      <c r="AD140" s="72">
        <f>SUM(AD127:AD139)</f>
        <v>0</v>
      </c>
      <c r="AE140" s="1"/>
      <c r="AF140" s="72">
        <f>SUM(AF127:AF139)</f>
        <v>0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0</v>
      </c>
      <c r="BB140" s="213">
        <f>AE139</f>
        <v>0</v>
      </c>
      <c r="BC140" s="214">
        <f>+S122</f>
        <v>5</v>
      </c>
      <c r="BF140" s="215">
        <f>SUM(BF121:BF139)</f>
        <v>0</v>
      </c>
      <c r="BM140" s="212">
        <f>+BB140/1000000+BA140</f>
        <v>0</v>
      </c>
      <c r="BN140" s="214">
        <f>RANK(BM140,BM:BM)</f>
        <v>1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M142" si="127">IF(S142=0,"",S142)</f>
        <v>Gegner-Nr.:</v>
      </c>
      <c r="C142" s="5" t="str">
        <f t="shared" si="127"/>
        <v>&gt;&gt;&gt;&gt;</v>
      </c>
      <c r="D142" s="350">
        <f t="shared" si="127"/>
        <v>6</v>
      </c>
      <c r="E142" s="350" t="str">
        <f t="shared" si="127"/>
        <v/>
      </c>
      <c r="F142" s="350">
        <f t="shared" si="127"/>
        <v>4</v>
      </c>
      <c r="G142" s="350" t="str">
        <f t="shared" si="127"/>
        <v/>
      </c>
      <c r="H142" s="350">
        <f t="shared" si="127"/>
        <v>2</v>
      </c>
      <c r="I142" s="350" t="str">
        <f t="shared" si="127"/>
        <v/>
      </c>
      <c r="J142" s="350">
        <f t="shared" si="127"/>
        <v>3</v>
      </c>
      <c r="K142" s="350" t="str">
        <f t="shared" si="127"/>
        <v/>
      </c>
      <c r="L142" s="350">
        <f t="shared" si="127"/>
        <v>1</v>
      </c>
      <c r="M142" s="350" t="str">
        <f t="shared" si="127"/>
        <v/>
      </c>
      <c r="N142" s="351"/>
      <c r="O142" s="351"/>
      <c r="S142" s="13" t="s">
        <v>1789</v>
      </c>
      <c r="T142" s="5" t="s">
        <v>1790</v>
      </c>
      <c r="U142" s="369">
        <f>VLOOKUP($S122,Schlüssel!$A$5:$DG$10,103)</f>
        <v>6</v>
      </c>
      <c r="V142" s="370"/>
      <c r="W142" s="369">
        <f>VLOOKUP($S122,Schlüssel!$A$5:$EK$10,104)</f>
        <v>4</v>
      </c>
      <c r="X142" s="370"/>
      <c r="Y142" s="369">
        <f>VLOOKUP($S122,Schlüssel!$A$5:$EK$10,105)</f>
        <v>2</v>
      </c>
      <c r="Z142" s="370"/>
      <c r="AA142" s="369">
        <f>VLOOKUP($S122,Schlüssel!$A$5:$EK$10,106)</f>
        <v>3</v>
      </c>
      <c r="AB142" s="370"/>
      <c r="AC142" s="369">
        <f>VLOOKUP($S122,Schlüssel!$A$5:$EK$10,107)</f>
        <v>1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ref="B143:K144" si="128">IF(S143=0,"",S143)</f>
        <v/>
      </c>
      <c r="C143" s="1" t="str">
        <f t="shared" si="128"/>
        <v/>
      </c>
      <c r="D143" s="347" t="str">
        <f t="shared" si="128"/>
        <v>Adler Nürnberg 1</v>
      </c>
      <c r="E143" s="348" t="str">
        <f t="shared" si="128"/>
        <v/>
      </c>
      <c r="F143" s="347" t="str">
        <f t="shared" si="128"/>
        <v>Kings Club Bayreuth Land 3</v>
      </c>
      <c r="G143" s="348" t="str">
        <f t="shared" si="128"/>
        <v/>
      </c>
      <c r="H143" s="347" t="str">
        <f t="shared" si="128"/>
        <v>Herzogenaurach 1</v>
      </c>
      <c r="I143" s="348" t="str">
        <f t="shared" si="128"/>
        <v/>
      </c>
      <c r="J143" s="347" t="str">
        <f t="shared" si="128"/>
        <v>Kings Club Bayreuth Land 2</v>
      </c>
      <c r="K143" s="348" t="str">
        <f t="shared" si="128"/>
        <v/>
      </c>
      <c r="L143" s="347" t="str">
        <f>IF(AC143=0,"",AC143)</f>
        <v>Castra Regina Regensburg 3</v>
      </c>
      <c r="M143" s="348" t="str">
        <f>IF(AD143=0,"",AD143)</f>
        <v/>
      </c>
      <c r="N143" s="349"/>
      <c r="O143" s="349"/>
      <c r="S143" s="4"/>
      <c r="T143" s="1"/>
      <c r="U143" s="347" t="str">
        <f>VLOOKUP(U142,Schlüssel!$A$5:$K$10,2)</f>
        <v>Adler Nürnberg 1</v>
      </c>
      <c r="V143" s="348"/>
      <c r="W143" s="347" t="str">
        <f>VLOOKUP(W142,Schlüssel!$A$5:$K$10,2)</f>
        <v>Kings Club Bayreuth Land 3</v>
      </c>
      <c r="X143" s="348"/>
      <c r="Y143" s="347" t="str">
        <f>VLOOKUP(Y142,Schlüssel!$A$5:$K$10,2)</f>
        <v>Herzogenaurach 1</v>
      </c>
      <c r="Z143" s="348"/>
      <c r="AA143" s="347" t="str">
        <f>VLOOKUP(AA142,Schlüssel!$A$5:$K$10,2)</f>
        <v>Kings Club Bayreuth Land 2</v>
      </c>
      <c r="AB143" s="348"/>
      <c r="AC143" s="347" t="str">
        <f>VLOOKUP(AC142,Schlüssel!$A$5:$K$10,2)</f>
        <v>Castra Regina Regensburg 3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28"/>
        <v/>
      </c>
      <c r="C144" s="1" t="str">
        <f t="shared" si="128"/>
        <v/>
      </c>
      <c r="D144" s="346" t="str">
        <f t="shared" si="128"/>
        <v/>
      </c>
      <c r="E144" s="346" t="str">
        <f t="shared" si="128"/>
        <v/>
      </c>
      <c r="F144" s="346" t="str">
        <f t="shared" si="128"/>
        <v/>
      </c>
      <c r="G144" s="346" t="str">
        <f t="shared" si="128"/>
        <v/>
      </c>
      <c r="H144" s="346" t="str">
        <f t="shared" si="128"/>
        <v/>
      </c>
      <c r="I144" s="346" t="str">
        <f t="shared" si="128"/>
        <v/>
      </c>
      <c r="J144" s="346" t="str">
        <f t="shared" si="128"/>
        <v/>
      </c>
      <c r="K144" s="346" t="str">
        <f t="shared" si="128"/>
        <v/>
      </c>
      <c r="L144" s="346" t="str">
        <f>IF(AC144=0,"",AC144)</f>
        <v/>
      </c>
      <c r="M144" s="346" t="str">
        <f>IF(AD144=0,"",AD144)</f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ref="B145:C149" si="129">IF(S145=0,"",S145)</f>
        <v>Spieler 1</v>
      </c>
      <c r="C145" s="372" t="str">
        <f t="shared" si="129"/>
        <v/>
      </c>
      <c r="D145" s="344">
        <f>IF(U145=301,"",U145)</f>
        <v>0</v>
      </c>
      <c r="E145" s="344" t="str">
        <f>IF(V145=0,"",V145)</f>
        <v/>
      </c>
      <c r="F145" s="344">
        <f>IF(W145=301,"",W145)</f>
        <v>0</v>
      </c>
      <c r="G145" s="344" t="str">
        <f>IF(X145=0,"",X145)</f>
        <v/>
      </c>
      <c r="H145" s="344">
        <f>IF(Y145=301,"",Y145)</f>
        <v>0</v>
      </c>
      <c r="I145" s="344" t="str">
        <f>IF(Z145=0,"",Z145)</f>
        <v/>
      </c>
      <c r="J145" s="344">
        <f>IF(AA145=301,"",AA145)</f>
        <v>0</v>
      </c>
      <c r="K145" s="344" t="str">
        <f>IF(AB145=0,"",AB145)</f>
        <v/>
      </c>
      <c r="L145" s="344">
        <f>IF(AC145=301,"",AC145)</f>
        <v>0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0</v>
      </c>
      <c r="V145" s="368"/>
      <c r="W145" s="367">
        <f>ABS(INDEX(W:W,MATCH(W142,$S:$S,0)+5)+INDEX(W:W,MATCH(W142,$S:$S,0)+6)+INDEX(W:W,MATCH(W142,$S:$S,0)+7))</f>
        <v>0</v>
      </c>
      <c r="X145" s="368"/>
      <c r="Y145" s="367">
        <f>ABS(INDEX(Y:Y,MATCH(Y142,$S:$S,0)+5)+INDEX(Y:Y,MATCH(Y142,$S:$S,0)+6)+INDEX(Y:Y,MATCH(Y142,$S:$S,0)+7))</f>
        <v>0</v>
      </c>
      <c r="Z145" s="368"/>
      <c r="AA145" s="367">
        <f>ABS(INDEX(AA:AA,MATCH(AA142,$S:$S,0)+5)+INDEX(AA:AA,MATCH(AA142,$S:$S,0)+6)+INDEX(AA:AA,MATCH(AA142,$S:$S,0)+7))</f>
        <v>0</v>
      </c>
      <c r="AB145" s="368"/>
      <c r="AC145" s="367">
        <f>ABS(INDEX(AC:AC,MATCH(AC142,$S:$S,0)+5)+INDEX(AC:AC,MATCH(AC142,$S:$S,0)+6)+INDEX(AC:AC,MATCH(AC142,$S:$S,0)+7))</f>
        <v>0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29"/>
        <v>Spieler 2</v>
      </c>
      <c r="C146" s="372" t="str">
        <f t="shared" si="129"/>
        <v/>
      </c>
      <c r="D146" s="344">
        <f>IF(U146=301,"",U146)</f>
        <v>0</v>
      </c>
      <c r="E146" s="344" t="str">
        <f>IF(V146=0,"",V146)</f>
        <v/>
      </c>
      <c r="F146" s="344">
        <f>IF(W146=301,"",W146)</f>
        <v>0</v>
      </c>
      <c r="G146" s="344" t="str">
        <f>IF(X146=0,"",X146)</f>
        <v/>
      </c>
      <c r="H146" s="344">
        <f>IF(Y146=301,"",Y146)</f>
        <v>0</v>
      </c>
      <c r="I146" s="344" t="str">
        <f>IF(Z146=0,"",Z146)</f>
        <v/>
      </c>
      <c r="J146" s="344">
        <f>IF(AA146=301,"",AA146)</f>
        <v>0</v>
      </c>
      <c r="K146" s="344" t="str">
        <f>IF(AB146=0,"",AB146)</f>
        <v/>
      </c>
      <c r="L146" s="344">
        <f>IF(AC146=301,"",AC146)</f>
        <v>0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0</v>
      </c>
      <c r="V146" s="366"/>
      <c r="W146" s="365">
        <f>ABS(INDEX(W:W,MATCH(W142,$S:$S,0)+8)+INDEX(W:W,MATCH(W142,$S:$S,0)+9)+INDEX(W:W,MATCH(W142,$S:$S,0)+10))</f>
        <v>0</v>
      </c>
      <c r="X146" s="366"/>
      <c r="Y146" s="365">
        <f>ABS(INDEX(Y:Y,MATCH(Y142,$S:$S,0)+8)+INDEX(Y:Y,MATCH(Y142,$S:$S,0)+9)+INDEX(Y:Y,MATCH(Y142,$S:$S,0)+10))</f>
        <v>0</v>
      </c>
      <c r="Z146" s="366"/>
      <c r="AA146" s="365">
        <f>ABS(INDEX(AA:AA,MATCH(AA142,$S:$S,0)+8)+INDEX(AA:AA,MATCH(AA142,$S:$S,0)+9)+INDEX(AA:AA,MATCH(AA142,$S:$S,0)+10))</f>
        <v>0</v>
      </c>
      <c r="AB146" s="366"/>
      <c r="AC146" s="365">
        <f>ABS(INDEX(AC:AC,MATCH(AC142,$S:$S,0)+8)+INDEX(AC:AC,MATCH(AC142,$S:$S,0)+9)+INDEX(AC:AC,MATCH(AC142,$S:$S,0)+10))</f>
        <v>0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29"/>
        <v>Spieler 3</v>
      </c>
      <c r="C147" s="372" t="str">
        <f t="shared" si="129"/>
        <v/>
      </c>
      <c r="D147" s="344">
        <f>IF(U147=301,"",U147)</f>
        <v>0</v>
      </c>
      <c r="E147" s="344" t="str">
        <f>IF(V147=0,"",V147)</f>
        <v/>
      </c>
      <c r="F147" s="344">
        <f>IF(W147=301,"",W147)</f>
        <v>0</v>
      </c>
      <c r="G147" s="344" t="str">
        <f>IF(X147=0,"",X147)</f>
        <v/>
      </c>
      <c r="H147" s="344">
        <f>IF(Y147=301,"",Y147)</f>
        <v>0</v>
      </c>
      <c r="I147" s="344" t="str">
        <f>IF(Z147=0,"",Z147)</f>
        <v/>
      </c>
      <c r="J147" s="344">
        <f>IF(AA147=301,"",AA147)</f>
        <v>0</v>
      </c>
      <c r="K147" s="344" t="str">
        <f>IF(AB147=0,"",AB147)</f>
        <v/>
      </c>
      <c r="L147" s="344">
        <f>IF(AC147=301,"",AC147)</f>
        <v>0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0</v>
      </c>
      <c r="V147" s="366"/>
      <c r="W147" s="365">
        <f>ABS(INDEX(W:W,MATCH(W142,$S:$S,0)+11)+INDEX(W:W,MATCH(W142,$S:$S,0)+12)+INDEX(W:W,MATCH(W142,$S:$S,0)+13))</f>
        <v>0</v>
      </c>
      <c r="X147" s="366"/>
      <c r="Y147" s="365">
        <f>ABS(INDEX(Y:Y,MATCH(Y142,$S:$S,0)+11)+INDEX(Y:Y,MATCH(Y142,$S:$S,0)+12)+INDEX(Y:Y,MATCH(Y142,$S:$S,0)+13))</f>
        <v>0</v>
      </c>
      <c r="Z147" s="366"/>
      <c r="AA147" s="365">
        <f>ABS(INDEX(AA:AA,MATCH(AA142,$S:$S,0)+11)+INDEX(AA:AA,MATCH(AA142,$S:$S,0)+12)+INDEX(AA:AA,MATCH(AA142,$S:$S,0)+13))</f>
        <v>0</v>
      </c>
      <c r="AB147" s="366"/>
      <c r="AC147" s="365">
        <f>ABS(INDEX(AC:AC,MATCH(AC142,$S:$S,0)+11)+INDEX(AC:AC,MATCH(AC142,$S:$S,0)+12)+INDEX(AC:AC,MATCH(AC142,$S:$S,0)+13))</f>
        <v>0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29"/>
        <v>Spieler 4</v>
      </c>
      <c r="C148" s="372" t="str">
        <f t="shared" si="129"/>
        <v/>
      </c>
      <c r="D148" s="344">
        <f>IF(U148=301,"",U148)</f>
        <v>0</v>
      </c>
      <c r="E148" s="344" t="str">
        <f>IF(V148=0,"",V148)</f>
        <v/>
      </c>
      <c r="F148" s="344">
        <f>IF(W148=301,"",W148)</f>
        <v>0</v>
      </c>
      <c r="G148" s="344" t="str">
        <f>IF(X148=0,"",X148)</f>
        <v/>
      </c>
      <c r="H148" s="344">
        <f>IF(Y148=301,"",Y148)</f>
        <v>0</v>
      </c>
      <c r="I148" s="344" t="str">
        <f>IF(Z148=0,"",Z148)</f>
        <v/>
      </c>
      <c r="J148" s="344">
        <f>IF(AA148=301,"",AA148)</f>
        <v>0</v>
      </c>
      <c r="K148" s="344" t="str">
        <f>IF(AB148=0,"",AB148)</f>
        <v/>
      </c>
      <c r="L148" s="344">
        <f>IF(AC148=301,"",AC148)</f>
        <v>0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0</v>
      </c>
      <c r="V148" s="366"/>
      <c r="W148" s="365">
        <f>ABS(INDEX(W:W,MATCH(W142,$S:$S,0)+14)+INDEX(W:W,MATCH(W142,$S:$S,0)+15)+INDEX(W:W,MATCH(W142,$S:$S,0)+16))</f>
        <v>0</v>
      </c>
      <c r="X148" s="366"/>
      <c r="Y148" s="365">
        <f>ABS(INDEX(Y:Y,MATCH(Y142,$S:$S,0)+14)+INDEX(Y:Y,MATCH(Y142,$S:$S,0)+15)+INDEX(Y:Y,MATCH(Y142,$S:$S,0)+16))</f>
        <v>0</v>
      </c>
      <c r="Z148" s="366"/>
      <c r="AA148" s="365">
        <f>ABS(INDEX(AA:AA,MATCH(AA142,$S:$S,0)+14)+INDEX(AA:AA,MATCH(AA142,$S:$S,0)+15)+INDEX(AA:AA,MATCH(AA142,$S:$S,0)+16))</f>
        <v>0</v>
      </c>
      <c r="AB148" s="366"/>
      <c r="AC148" s="365">
        <f>ABS(INDEX(AC:AC,MATCH(AC142,$S:$S,0)+14)+INDEX(AC:AC,MATCH(AC142,$S:$S,0)+15)+INDEX(AC:AC,MATCH(AC142,$S:$S,0)+16))</f>
        <v>0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29"/>
        <v>Gesamt</v>
      </c>
      <c r="C149" s="360" t="str">
        <f t="shared" si="129"/>
        <v/>
      </c>
      <c r="D149" s="343">
        <f>IF(U149=1505,"",U149)</f>
        <v>0</v>
      </c>
      <c r="E149" s="343" t="str">
        <f>IF(V149=0,"",V149)</f>
        <v/>
      </c>
      <c r="F149" s="343">
        <f>IF(W149=1505,"",W149)</f>
        <v>0</v>
      </c>
      <c r="G149" s="343" t="str">
        <f>IF(X149=0,"",X149)</f>
        <v/>
      </c>
      <c r="H149" s="343">
        <f>IF(Y149=1505,"",Y149)</f>
        <v>0</v>
      </c>
      <c r="I149" s="343" t="str">
        <f>IF(Z149=0,"",Z149)</f>
        <v/>
      </c>
      <c r="J149" s="343">
        <f>IF(AA149=1505,"",AA149)</f>
        <v>0</v>
      </c>
      <c r="K149" s="343" t="str">
        <f>IF(AB149=0,"",AB149)</f>
        <v/>
      </c>
      <c r="L149" s="343">
        <f>IF(AC149=1505,"",AC149)</f>
        <v>0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0</v>
      </c>
      <c r="V149" s="360"/>
      <c r="W149" s="359">
        <f>SUM(W145:W148)</f>
        <v>0</v>
      </c>
      <c r="X149" s="360"/>
      <c r="Y149" s="359">
        <f>SUM(Y145:Y148)</f>
        <v>0</v>
      </c>
      <c r="Z149" s="360"/>
      <c r="AA149" s="359">
        <f>SUM(AA145:AA148)</f>
        <v>0</v>
      </c>
      <c r="AB149" s="360"/>
      <c r="AC149" s="359">
        <f>SUM(AC145:AC148)</f>
        <v>0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 t="str">
        <f>AD151</f>
        <v>27.04.</v>
      </c>
      <c r="N151" s="376"/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Schlüssel!$DI$1</f>
        <v>27.04.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">
        <v>1786</v>
      </c>
      <c r="E152" s="84" t="str">
        <f>V152</f>
        <v>Regensburg Super Bowl</v>
      </c>
      <c r="F152" s="77"/>
      <c r="G152" s="77"/>
      <c r="H152" s="77"/>
      <c r="I152" s="77"/>
      <c r="J152" s="77"/>
      <c r="K152" s="77"/>
      <c r="L152" s="29" t="str">
        <f>AC152</f>
        <v>Spieltag:</v>
      </c>
      <c r="M152" s="86">
        <f>AD152</f>
        <v>6</v>
      </c>
      <c r="N152" s="28"/>
      <c r="R152" s="49"/>
      <c r="S152" s="50">
        <v>6</v>
      </c>
      <c r="U152" s="30" t="s">
        <v>1786</v>
      </c>
      <c r="V152" s="84" t="str">
        <f>Schlüssel!$CY$2</f>
        <v>Regensburg Super Bowl</v>
      </c>
      <c r="X152" s="77"/>
      <c r="Y152" s="77"/>
      <c r="Z152" s="77"/>
      <c r="AA152" s="77"/>
      <c r="AB152" s="77"/>
      <c r="AC152" s="29" t="s">
        <v>1784</v>
      </c>
      <c r="AD152" s="34">
        <v>6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VLOOKUP(S152,Schlüssel!$A$5:$DZ$10,113)</f>
        <v>14</v>
      </c>
      <c r="W154" s="193" t="s">
        <v>10</v>
      </c>
      <c r="X154" s="191">
        <f>VLOOKUP(S152,Schlüssel!$A$5:$DZ$10,114)</f>
        <v>12</v>
      </c>
      <c r="Y154" s="193" t="s">
        <v>10</v>
      </c>
      <c r="Z154" s="191">
        <f>VLOOKUP(S152,Schlüssel!$A$5:$DZ$10,115)</f>
        <v>13</v>
      </c>
      <c r="AA154" s="193" t="s">
        <v>10</v>
      </c>
      <c r="AB154" s="191">
        <f>VLOOKUP(S152,Schlüssel!$A$5:$DZ$10,116)</f>
        <v>16</v>
      </c>
      <c r="AC154" s="193" t="s">
        <v>10</v>
      </c>
      <c r="AD154" s="192">
        <f>VLOOKUP(S152,Schlüssel!$A$5:$DZ$10,117)</f>
        <v>11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/>
      </c>
      <c r="C157" s="18" t="str">
        <f>IF(T157=0,"",T157)</f>
        <v/>
      </c>
      <c r="D157" s="14" t="str">
        <f>IF(U157=0,"",U157)</f>
        <v/>
      </c>
      <c r="E157" s="352">
        <f>IF(V157="","",V157)</f>
        <v>0</v>
      </c>
      <c r="F157" s="14" t="str">
        <f t="shared" ref="F157:F170" si="130">IF(W157=0,"",W157)</f>
        <v/>
      </c>
      <c r="G157" s="352">
        <f>IF(X157="","",X157)</f>
        <v>0</v>
      </c>
      <c r="H157" s="14" t="str">
        <f t="shared" ref="H157:H170" si="131">IF(Y157=0,"",Y157)</f>
        <v/>
      </c>
      <c r="I157" s="352">
        <f>IF(Z157="","",Z157)</f>
        <v>0</v>
      </c>
      <c r="J157" s="14" t="str">
        <f t="shared" ref="J157:J170" si="132">IF(AA157=0,"",AA157)</f>
        <v/>
      </c>
      <c r="K157" s="352">
        <f>IF(AB157="","",AB157)</f>
        <v>0</v>
      </c>
      <c r="L157" s="14" t="str">
        <f t="shared" ref="L157:L170" si="133">IF(AC157=0,"",AC157)</f>
        <v/>
      </c>
      <c r="M157" s="352">
        <f>IF(AD157="","",AD157)</f>
        <v>0</v>
      </c>
      <c r="N157" s="14" t="str">
        <f t="shared" ref="N157:N170" si="134">IF(AE157=0,"",AE157)</f>
        <v/>
      </c>
      <c r="O157" s="352">
        <f>IF(AF157="","",AF157)</f>
        <v>0</v>
      </c>
      <c r="R157" s="355" t="s">
        <v>0</v>
      </c>
      <c r="S157" s="68" t="str">
        <f>IF(T157=0,"",VLOOKUP(T157,Starter!$A$1:$D$196,2,FALSE))</f>
        <v/>
      </c>
      <c r="T157" s="175"/>
      <c r="U157" s="183"/>
      <c r="V157" s="95">
        <f>IF(SUM(U157:U159)+U175=0,0,IF(ABS(SUM(U157:U159))=U175,0.5,IF(ABS(SUM(U157:U159))&gt;U175,1,0)))</f>
        <v>0</v>
      </c>
      <c r="W157" s="183"/>
      <c r="X157" s="95">
        <f>IF(SUM(W157:W159)+W175=0,0,IF(ABS(SUM(W157:W159))=W175,0.5,IF(ABS(SUM(W157:W159))&gt;W175,1,0)))</f>
        <v>0</v>
      </c>
      <c r="Y157" s="183"/>
      <c r="Z157" s="95">
        <f>IF(SUM(Y157:Y159)+Y175=0,0,IF(ABS(SUM(Y157:Y159))=Y175,0.5,IF(ABS(SUM(Y157:Y159))&gt;Y175,1,0)))</f>
        <v>0</v>
      </c>
      <c r="AA157" s="189"/>
      <c r="AB157" s="95">
        <f>IF(SUM(AA157:AA159)+AA175=0,0,IF(ABS(SUM(AA157:AA159))=AA175,0.5,IF(ABS(SUM(AA157:AA159))&gt;AA175,1,0)))</f>
        <v>0</v>
      </c>
      <c r="AC157" s="183"/>
      <c r="AD157" s="95">
        <f>IF(SUM(AC157:AC159)+AC175=0,0,IF(ABS(SUM(AC157:AC159))=AC175,0.5,IF(ABS(SUM(AC157:AC159))&gt;AC175,1,0)))</f>
        <v>0</v>
      </c>
      <c r="AE157" s="195">
        <f t="shared" ref="AE157:AE168" si="135">ABS(SUM(U157:U157))+ABS(SUM(W157:W157))+ABS(SUM(Y157:Y157))+ABS(SUM(AA157:AA157))+ABS(SUM(AC157:AC157))</f>
        <v>0</v>
      </c>
      <c r="AF157" s="180">
        <f>SUM(V157+X157+Z157+AB157+AD157)</f>
        <v>0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36">T157</f>
        <v>0</v>
      </c>
      <c r="BE157" s="213">
        <f t="shared" ref="BE157:BE168" si="137">AE157</f>
        <v>0</v>
      </c>
      <c r="BF157" s="215">
        <f t="shared" ref="BF157:BF168" si="138">COUNT(BH157:BL157)</f>
        <v>0</v>
      </c>
      <c r="BG157" s="215">
        <f t="shared" ref="BG157:BG168" si="139">COUNTIF(BH157:BL157,"&gt;0")</f>
        <v>0</v>
      </c>
      <c r="BH157" s="215" t="str">
        <f t="shared" ref="BH157:BH168" si="140">IF(U157=0,"",U157)</f>
        <v/>
      </c>
      <c r="BI157" s="215" t="str">
        <f t="shared" ref="BI157:BI168" si="141">IF(W157=0,"",W157)</f>
        <v/>
      </c>
      <c r="BJ157" s="215" t="str">
        <f t="shared" ref="BJ157:BJ168" si="142">IF(Y157=0,"",Y157)</f>
        <v/>
      </c>
      <c r="BK157" s="215" t="str">
        <f t="shared" ref="BK157:BK168" si="143">IF(AA157=0,"",AA157)</f>
        <v/>
      </c>
      <c r="BL157" s="215" t="str">
        <f t="shared" ref="BL157:BL168" si="144">IF(AC157=0,"",AC157)</f>
        <v/>
      </c>
      <c r="BM157" s="216"/>
      <c r="BN157" s="214"/>
      <c r="BO157" s="215">
        <f t="shared" ref="BO157:BO168" si="145">MAX(BH157:BL157)</f>
        <v>0</v>
      </c>
      <c r="BP157" s="215">
        <f t="shared" ref="BP157:BP168" si="146">IF(BO157&lt;MAX(BO:BO),0,BO157+ROW()/1000000000)</f>
        <v>1.5699999999999999E-7</v>
      </c>
      <c r="BQ157" s="215" t="str">
        <f>+S153</f>
        <v>Adler Nürnberg 1</v>
      </c>
      <c r="BR157" s="214">
        <f t="shared" ref="BR157:BR168" si="147">RANK(BP157,BP:BP)</f>
        <v>12</v>
      </c>
      <c r="BS157" s="215">
        <f t="shared" ref="BS157:BS168" si="148">SUMIF(BH157:BL157,"&gt;0")</f>
        <v>0</v>
      </c>
      <c r="BT157" s="215">
        <f>IF(COUNTIF(BH157:BL157,"&gt;0")&lt;Spielorte!$A$23,0,BE157/Spielorte!$A$23)</f>
        <v>0</v>
      </c>
      <c r="BU157" s="215">
        <f t="shared" ref="BU157:BU168" si="149">IF(BT157&lt;MAX(BT:BT),0,BT157+ROW()/1000000000)</f>
        <v>1.5699999999999999E-7</v>
      </c>
      <c r="BV157" s="214">
        <f t="shared" ref="BV157:BV168" si="150">IF(BU157=0,0,RANK(BU157,BU:BU))</f>
        <v>12</v>
      </c>
    </row>
    <row r="158" spans="1:74" ht="17.100000000000001" customHeight="1" x14ac:dyDescent="0.2">
      <c r="A158" s="374"/>
      <c r="B158" s="19" t="str">
        <f t="shared" ref="B158:D170" si="151">IF(S158=0,"",S158)</f>
        <v/>
      </c>
      <c r="C158" s="20" t="str">
        <f t="shared" si="151"/>
        <v/>
      </c>
      <c r="D158" s="15" t="str">
        <f t="shared" si="151"/>
        <v/>
      </c>
      <c r="E158" s="353"/>
      <c r="F158" s="15" t="str">
        <f t="shared" si="130"/>
        <v/>
      </c>
      <c r="G158" s="353"/>
      <c r="H158" s="15" t="str">
        <f t="shared" si="131"/>
        <v/>
      </c>
      <c r="I158" s="353"/>
      <c r="J158" s="15" t="str">
        <f t="shared" si="132"/>
        <v/>
      </c>
      <c r="K158" s="353"/>
      <c r="L158" s="15" t="str">
        <f t="shared" si="133"/>
        <v/>
      </c>
      <c r="M158" s="353"/>
      <c r="N158" s="15" t="str">
        <f t="shared" si="134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35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36"/>
        <v>0</v>
      </c>
      <c r="BE158" s="213">
        <f t="shared" si="137"/>
        <v>0</v>
      </c>
      <c r="BF158" s="215">
        <f t="shared" si="138"/>
        <v>0</v>
      </c>
      <c r="BG158" s="215">
        <f t="shared" si="139"/>
        <v>0</v>
      </c>
      <c r="BH158" s="215" t="str">
        <f t="shared" si="140"/>
        <v/>
      </c>
      <c r="BI158" s="215" t="str">
        <f t="shared" si="141"/>
        <v/>
      </c>
      <c r="BJ158" s="215" t="str">
        <f t="shared" si="142"/>
        <v/>
      </c>
      <c r="BK158" s="215" t="str">
        <f t="shared" si="143"/>
        <v/>
      </c>
      <c r="BL158" s="215" t="str">
        <f t="shared" si="144"/>
        <v/>
      </c>
      <c r="BM158" s="216"/>
      <c r="BN158" s="214"/>
      <c r="BO158" s="215">
        <f t="shared" si="145"/>
        <v>0</v>
      </c>
      <c r="BP158" s="215">
        <f t="shared" si="146"/>
        <v>1.5800000000000001E-7</v>
      </c>
      <c r="BQ158" s="215" t="str">
        <f t="shared" ref="BQ158:BQ168" si="152">+BQ157</f>
        <v>Adler Nürnberg 1</v>
      </c>
      <c r="BR158" s="214">
        <f t="shared" si="147"/>
        <v>11</v>
      </c>
      <c r="BS158" s="215">
        <f t="shared" si="148"/>
        <v>0</v>
      </c>
      <c r="BT158" s="215">
        <f>IF(COUNTIF(BH158:BL158,"&gt;0")&lt;Spielorte!$A$23,0,BE158/Spielorte!$A$23)</f>
        <v>0</v>
      </c>
      <c r="BU158" s="215">
        <f t="shared" si="149"/>
        <v>1.5800000000000001E-7</v>
      </c>
      <c r="BV158" s="214">
        <f t="shared" si="150"/>
        <v>11</v>
      </c>
    </row>
    <row r="159" spans="1:74" ht="17.100000000000001" customHeight="1" thickBot="1" x14ac:dyDescent="0.25">
      <c r="A159" s="375"/>
      <c r="B159" s="21" t="str">
        <f t="shared" si="151"/>
        <v/>
      </c>
      <c r="C159" s="22" t="str">
        <f t="shared" si="151"/>
        <v/>
      </c>
      <c r="D159" s="9" t="str">
        <f t="shared" si="151"/>
        <v/>
      </c>
      <c r="E159" s="354"/>
      <c r="F159" s="9" t="str">
        <f t="shared" si="130"/>
        <v/>
      </c>
      <c r="G159" s="354"/>
      <c r="H159" s="9" t="str">
        <f t="shared" si="131"/>
        <v/>
      </c>
      <c r="I159" s="354"/>
      <c r="J159" s="9" t="str">
        <f t="shared" si="132"/>
        <v/>
      </c>
      <c r="K159" s="354"/>
      <c r="L159" s="9" t="str">
        <f t="shared" si="133"/>
        <v/>
      </c>
      <c r="M159" s="354"/>
      <c r="N159" s="9" t="str">
        <f t="shared" si="134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35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36"/>
        <v>0</v>
      </c>
      <c r="BE159" s="213">
        <f t="shared" si="137"/>
        <v>0</v>
      </c>
      <c r="BF159" s="215">
        <f t="shared" si="138"/>
        <v>0</v>
      </c>
      <c r="BG159" s="215">
        <f t="shared" si="139"/>
        <v>0</v>
      </c>
      <c r="BH159" s="215" t="str">
        <f t="shared" si="140"/>
        <v/>
      </c>
      <c r="BI159" s="215" t="str">
        <f t="shared" si="141"/>
        <v/>
      </c>
      <c r="BJ159" s="215" t="str">
        <f t="shared" si="142"/>
        <v/>
      </c>
      <c r="BK159" s="215" t="str">
        <f t="shared" si="143"/>
        <v/>
      </c>
      <c r="BL159" s="215" t="str">
        <f t="shared" si="144"/>
        <v/>
      </c>
      <c r="BM159" s="216"/>
      <c r="BN159" s="214"/>
      <c r="BO159" s="215">
        <f t="shared" si="145"/>
        <v>0</v>
      </c>
      <c r="BP159" s="215">
        <f t="shared" si="146"/>
        <v>1.5900000000000001E-7</v>
      </c>
      <c r="BQ159" s="215" t="str">
        <f t="shared" si="152"/>
        <v>Adler Nürnberg 1</v>
      </c>
      <c r="BR159" s="214">
        <f t="shared" si="147"/>
        <v>10</v>
      </c>
      <c r="BS159" s="215">
        <f t="shared" si="148"/>
        <v>0</v>
      </c>
      <c r="BT159" s="215">
        <f>IF(COUNTIF(BH159:BL159,"&gt;0")&lt;Spielorte!$A$23,0,BE159/Spielorte!$A$23)</f>
        <v>0</v>
      </c>
      <c r="BU159" s="215">
        <f t="shared" si="149"/>
        <v>1.5900000000000001E-7</v>
      </c>
      <c r="BV159" s="214">
        <f t="shared" si="150"/>
        <v>10</v>
      </c>
    </row>
    <row r="160" spans="1:74" ht="17.100000000000001" customHeight="1" x14ac:dyDescent="0.2">
      <c r="A160" s="373" t="s">
        <v>2</v>
      </c>
      <c r="B160" s="17" t="str">
        <f t="shared" si="151"/>
        <v/>
      </c>
      <c r="C160" s="18" t="str">
        <f t="shared" si="151"/>
        <v/>
      </c>
      <c r="D160" s="14" t="str">
        <f t="shared" si="151"/>
        <v/>
      </c>
      <c r="E160" s="352">
        <f>IF(V160="","",V160)</f>
        <v>0</v>
      </c>
      <c r="F160" s="14" t="str">
        <f t="shared" si="130"/>
        <v/>
      </c>
      <c r="G160" s="352">
        <f>IF(X160="","",X160)</f>
        <v>0</v>
      </c>
      <c r="H160" s="14" t="str">
        <f t="shared" si="131"/>
        <v/>
      </c>
      <c r="I160" s="352">
        <f>IF(Z160="","",Z160)</f>
        <v>0</v>
      </c>
      <c r="J160" s="14" t="str">
        <f t="shared" si="132"/>
        <v/>
      </c>
      <c r="K160" s="352">
        <f>IF(AB160="","",AB160)</f>
        <v>0</v>
      </c>
      <c r="L160" s="14" t="str">
        <f t="shared" si="133"/>
        <v/>
      </c>
      <c r="M160" s="352">
        <f>IF(AD160="","",AD160)</f>
        <v>0</v>
      </c>
      <c r="N160" s="14" t="str">
        <f t="shared" si="134"/>
        <v/>
      </c>
      <c r="O160" s="352">
        <f>IF(AF160="","",AF160)</f>
        <v>0</v>
      </c>
      <c r="R160" s="355" t="s">
        <v>2</v>
      </c>
      <c r="S160" s="68" t="str">
        <f>IF(T160=0,"",VLOOKUP(T160,Starter!$A$1:$D$196,2,FALSE))</f>
        <v/>
      </c>
      <c r="T160" s="178"/>
      <c r="U160" s="186"/>
      <c r="V160" s="95">
        <f>IF(SUM(U160:U162)+U176=0,0,IF(ABS(SUM(U160:U162))=U176,0.5,IF(ABS(SUM(U160:U162))&gt;U176,1,0)))</f>
        <v>0</v>
      </c>
      <c r="W160" s="186"/>
      <c r="X160" s="95">
        <f>IF(SUM(W160:W162)+W176=0,0,IF(ABS(SUM(W160:W162))=W176,0.5,IF(ABS(SUM(W160:W162))&gt;W176,1,0)))</f>
        <v>0</v>
      </c>
      <c r="Y160" s="186"/>
      <c r="Z160" s="95">
        <f>IF(SUM(Y160:Y162)+Y176=0,0,IF(ABS(SUM(Y160:Y162))=Y176,0.5,IF(ABS(SUM(Y160:Y162))&gt;Y176,1,0)))</f>
        <v>0</v>
      </c>
      <c r="AA160" s="186"/>
      <c r="AB160" s="95">
        <f>IF(SUM(AA160:AA162)+AA176=0,0,IF(ABS(SUM(AA160:AA162))=AA176,0.5,IF(ABS(SUM(AA160:AA162))&gt;AA176,1,0)))</f>
        <v>0</v>
      </c>
      <c r="AC160" s="186"/>
      <c r="AD160" s="95">
        <f>IF(SUM(AC160:AC162)+AC176=0,0,IF(ABS(SUM(AC160:AC162))=AC176,0.5,IF(ABS(SUM(AC160:AC162))&gt;AC176,1,0)))</f>
        <v>0</v>
      </c>
      <c r="AE160" s="195">
        <f t="shared" si="135"/>
        <v>0</v>
      </c>
      <c r="AF160" s="180">
        <f>SUM(V160+X160+Z160+AB160+AD160)</f>
        <v>0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36"/>
        <v>0</v>
      </c>
      <c r="BE160" s="213">
        <f t="shared" si="137"/>
        <v>0</v>
      </c>
      <c r="BF160" s="215">
        <f t="shared" si="138"/>
        <v>0</v>
      </c>
      <c r="BG160" s="215">
        <f t="shared" si="139"/>
        <v>0</v>
      </c>
      <c r="BH160" s="215" t="str">
        <f t="shared" si="140"/>
        <v/>
      </c>
      <c r="BI160" s="215" t="str">
        <f t="shared" si="141"/>
        <v/>
      </c>
      <c r="BJ160" s="215" t="str">
        <f t="shared" si="142"/>
        <v/>
      </c>
      <c r="BK160" s="215" t="str">
        <f t="shared" si="143"/>
        <v/>
      </c>
      <c r="BL160" s="215" t="str">
        <f t="shared" si="144"/>
        <v/>
      </c>
      <c r="BM160" s="216"/>
      <c r="BN160" s="214"/>
      <c r="BO160" s="215">
        <f t="shared" si="145"/>
        <v>0</v>
      </c>
      <c r="BP160" s="215">
        <f t="shared" si="146"/>
        <v>1.6E-7</v>
      </c>
      <c r="BQ160" s="215" t="str">
        <f t="shared" si="152"/>
        <v>Adler Nürnberg 1</v>
      </c>
      <c r="BR160" s="214">
        <f t="shared" si="147"/>
        <v>9</v>
      </c>
      <c r="BS160" s="215">
        <f t="shared" si="148"/>
        <v>0</v>
      </c>
      <c r="BT160" s="215">
        <f>IF(COUNTIF(BH160:BL160,"&gt;0")&lt;Spielorte!$A$23,0,BE160/Spielorte!$A$23)</f>
        <v>0</v>
      </c>
      <c r="BU160" s="215">
        <f t="shared" si="149"/>
        <v>1.6E-7</v>
      </c>
      <c r="BV160" s="214">
        <f t="shared" si="150"/>
        <v>9</v>
      </c>
    </row>
    <row r="161" spans="1:74" ht="17.100000000000001" customHeight="1" x14ac:dyDescent="0.2">
      <c r="A161" s="374"/>
      <c r="B161" s="19" t="str">
        <f t="shared" si="151"/>
        <v/>
      </c>
      <c r="C161" s="20" t="str">
        <f t="shared" si="151"/>
        <v/>
      </c>
      <c r="D161" s="15" t="str">
        <f t="shared" si="151"/>
        <v/>
      </c>
      <c r="E161" s="353"/>
      <c r="F161" s="15" t="str">
        <f t="shared" si="130"/>
        <v/>
      </c>
      <c r="G161" s="353"/>
      <c r="H161" s="15" t="str">
        <f t="shared" si="131"/>
        <v/>
      </c>
      <c r="I161" s="353"/>
      <c r="J161" s="15" t="str">
        <f t="shared" si="132"/>
        <v/>
      </c>
      <c r="K161" s="353"/>
      <c r="L161" s="15" t="str">
        <f t="shared" si="133"/>
        <v/>
      </c>
      <c r="M161" s="353"/>
      <c r="N161" s="15" t="str">
        <f t="shared" si="134"/>
        <v/>
      </c>
      <c r="O161" s="353"/>
      <c r="R161" s="356"/>
      <c r="S161" s="68" t="str">
        <f>IF(T161=0,"",VLOOKUP(T161,Starter!$A$1:$D$196,2,FALSE))</f>
        <v/>
      </c>
      <c r="T161" s="176"/>
      <c r="U161" s="184"/>
      <c r="V161" s="96"/>
      <c r="W161" s="184"/>
      <c r="X161" s="96"/>
      <c r="Y161" s="184"/>
      <c r="Z161" s="96"/>
      <c r="AA161" s="184"/>
      <c r="AB161" s="96"/>
      <c r="AC161" s="184"/>
      <c r="AD161" s="96"/>
      <c r="AE161" s="196">
        <f t="shared" si="135"/>
        <v>0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36"/>
        <v>0</v>
      </c>
      <c r="BE161" s="213">
        <f t="shared" si="137"/>
        <v>0</v>
      </c>
      <c r="BF161" s="215">
        <f t="shared" si="138"/>
        <v>0</v>
      </c>
      <c r="BG161" s="215">
        <f t="shared" si="139"/>
        <v>0</v>
      </c>
      <c r="BH161" s="215" t="str">
        <f t="shared" si="140"/>
        <v/>
      </c>
      <c r="BI161" s="215" t="str">
        <f t="shared" si="141"/>
        <v/>
      </c>
      <c r="BJ161" s="215" t="str">
        <f t="shared" si="142"/>
        <v/>
      </c>
      <c r="BK161" s="215" t="str">
        <f t="shared" si="143"/>
        <v/>
      </c>
      <c r="BL161" s="215" t="str">
        <f t="shared" si="144"/>
        <v/>
      </c>
      <c r="BM161" s="216"/>
      <c r="BN161" s="214"/>
      <c r="BO161" s="215">
        <f t="shared" si="145"/>
        <v>0</v>
      </c>
      <c r="BP161" s="215">
        <f t="shared" si="146"/>
        <v>1.61E-7</v>
      </c>
      <c r="BQ161" s="215" t="str">
        <f t="shared" si="152"/>
        <v>Adler Nürnberg 1</v>
      </c>
      <c r="BR161" s="214">
        <f t="shared" si="147"/>
        <v>8</v>
      </c>
      <c r="BS161" s="215">
        <f t="shared" si="148"/>
        <v>0</v>
      </c>
      <c r="BT161" s="215">
        <f>IF(COUNTIF(BH161:BL161,"&gt;0")&lt;Spielorte!$A$23,0,BE161/Spielorte!$A$23)</f>
        <v>0</v>
      </c>
      <c r="BU161" s="215">
        <f t="shared" si="149"/>
        <v>1.61E-7</v>
      </c>
      <c r="BV161" s="214">
        <f t="shared" si="150"/>
        <v>8</v>
      </c>
    </row>
    <row r="162" spans="1:74" ht="17.100000000000001" customHeight="1" thickBot="1" x14ac:dyDescent="0.25">
      <c r="A162" s="375"/>
      <c r="B162" s="21" t="str">
        <f t="shared" si="151"/>
        <v/>
      </c>
      <c r="C162" s="22" t="str">
        <f t="shared" si="151"/>
        <v/>
      </c>
      <c r="D162" s="9" t="str">
        <f t="shared" si="151"/>
        <v/>
      </c>
      <c r="E162" s="354"/>
      <c r="F162" s="9" t="str">
        <f t="shared" si="130"/>
        <v/>
      </c>
      <c r="G162" s="354"/>
      <c r="H162" s="9" t="str">
        <f t="shared" si="131"/>
        <v/>
      </c>
      <c r="I162" s="354"/>
      <c r="J162" s="9" t="str">
        <f t="shared" si="132"/>
        <v/>
      </c>
      <c r="K162" s="354"/>
      <c r="L162" s="9" t="str">
        <f t="shared" si="133"/>
        <v/>
      </c>
      <c r="M162" s="354"/>
      <c r="N162" s="9" t="str">
        <f t="shared" si="134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35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36"/>
        <v>0</v>
      </c>
      <c r="BE162" s="213">
        <f t="shared" si="137"/>
        <v>0</v>
      </c>
      <c r="BF162" s="215">
        <f t="shared" si="138"/>
        <v>0</v>
      </c>
      <c r="BG162" s="215">
        <f t="shared" si="139"/>
        <v>0</v>
      </c>
      <c r="BH162" s="215" t="str">
        <f t="shared" si="140"/>
        <v/>
      </c>
      <c r="BI162" s="215" t="str">
        <f t="shared" si="141"/>
        <v/>
      </c>
      <c r="BJ162" s="215" t="str">
        <f t="shared" si="142"/>
        <v/>
      </c>
      <c r="BK162" s="215" t="str">
        <f t="shared" si="143"/>
        <v/>
      </c>
      <c r="BL162" s="215" t="str">
        <f t="shared" si="144"/>
        <v/>
      </c>
      <c r="BM162" s="216"/>
      <c r="BN162" s="214"/>
      <c r="BO162" s="215">
        <f t="shared" si="145"/>
        <v>0</v>
      </c>
      <c r="BP162" s="215">
        <f t="shared" si="146"/>
        <v>1.6199999999999999E-7</v>
      </c>
      <c r="BQ162" s="215" t="str">
        <f t="shared" si="152"/>
        <v>Adler Nürnberg 1</v>
      </c>
      <c r="BR162" s="214">
        <f t="shared" si="147"/>
        <v>7</v>
      </c>
      <c r="BS162" s="215">
        <f t="shared" si="148"/>
        <v>0</v>
      </c>
      <c r="BT162" s="215">
        <f>IF(COUNTIF(BH162:BL162,"&gt;0")&lt;Spielorte!$A$23,0,BE162/Spielorte!$A$23)</f>
        <v>0</v>
      </c>
      <c r="BU162" s="215">
        <f t="shared" si="149"/>
        <v>1.6199999999999999E-7</v>
      </c>
      <c r="BV162" s="214">
        <f t="shared" si="150"/>
        <v>7</v>
      </c>
    </row>
    <row r="163" spans="1:74" ht="17.100000000000001" customHeight="1" x14ac:dyDescent="0.2">
      <c r="A163" s="373" t="s">
        <v>3</v>
      </c>
      <c r="B163" s="17" t="str">
        <f t="shared" si="151"/>
        <v/>
      </c>
      <c r="C163" s="18" t="str">
        <f t="shared" si="151"/>
        <v/>
      </c>
      <c r="D163" s="14" t="str">
        <f t="shared" si="151"/>
        <v/>
      </c>
      <c r="E163" s="352">
        <f>IF(V163="","",V163)</f>
        <v>0</v>
      </c>
      <c r="F163" s="14" t="str">
        <f t="shared" si="130"/>
        <v/>
      </c>
      <c r="G163" s="352">
        <f>IF(X163="","",X163)</f>
        <v>0</v>
      </c>
      <c r="H163" s="14" t="str">
        <f t="shared" si="131"/>
        <v/>
      </c>
      <c r="I163" s="352">
        <f>IF(Z163="","",Z163)</f>
        <v>0</v>
      </c>
      <c r="J163" s="14" t="str">
        <f t="shared" si="132"/>
        <v/>
      </c>
      <c r="K163" s="352">
        <f>IF(AB163="","",AB163)</f>
        <v>0</v>
      </c>
      <c r="L163" s="14" t="str">
        <f t="shared" si="133"/>
        <v/>
      </c>
      <c r="M163" s="352">
        <f>IF(AD163="","",AD163)</f>
        <v>0</v>
      </c>
      <c r="N163" s="14" t="str">
        <f t="shared" si="134"/>
        <v/>
      </c>
      <c r="O163" s="352">
        <f>IF(AF163="","",AF163)</f>
        <v>0</v>
      </c>
      <c r="R163" s="355" t="s">
        <v>3</v>
      </c>
      <c r="S163" s="68" t="str">
        <f>IF(T163=0,"",VLOOKUP(T163,Starter!$A$1:$D$196,2,FALSE))</f>
        <v/>
      </c>
      <c r="T163" s="178"/>
      <c r="U163" s="186"/>
      <c r="V163" s="95">
        <f>IF(SUM(U163:U165)+U177=0,0,IF(ABS(SUM(U163:U165))=U177,0.5,IF(ABS(SUM(U163:U165))&gt;U177,1,0)))</f>
        <v>0</v>
      </c>
      <c r="W163" s="186"/>
      <c r="X163" s="95">
        <f>IF(SUM(W163:W165)+W177=0,0,IF(ABS(SUM(W163:W165))=W177,0.5,IF(ABS(SUM(W163:W165))&gt;W177,1,0)))</f>
        <v>0</v>
      </c>
      <c r="Y163" s="186"/>
      <c r="Z163" s="95">
        <f>IF(SUM(Y163:Y165)+Y177=0,0,IF(ABS(SUM(Y163:Y165))=Y177,0.5,IF(ABS(SUM(Y163:Y165))&gt;Y177,1,0)))</f>
        <v>0</v>
      </c>
      <c r="AA163" s="186"/>
      <c r="AB163" s="95">
        <f>IF(SUM(AA163:AA165)+AA177=0,0,IF(ABS(SUM(AA163:AA165))=AA177,0.5,IF(ABS(SUM(AA163:AA165))&gt;AA177,1,0)))</f>
        <v>0</v>
      </c>
      <c r="AC163" s="186"/>
      <c r="AD163" s="95">
        <f>IF(SUM(AC163:AC165)+AC177=0,0,IF(ABS(SUM(AC163:AC165))=AC177,0.5,IF(ABS(SUM(AC163:AC165))&gt;AC177,1,0)))</f>
        <v>0</v>
      </c>
      <c r="AE163" s="195">
        <f t="shared" si="135"/>
        <v>0</v>
      </c>
      <c r="AF163" s="180">
        <f>SUM(V163+X163+Z163+AB163+AD163)</f>
        <v>0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36"/>
        <v>0</v>
      </c>
      <c r="BE163" s="213">
        <f t="shared" si="137"/>
        <v>0</v>
      </c>
      <c r="BF163" s="215">
        <f t="shared" si="138"/>
        <v>0</v>
      </c>
      <c r="BG163" s="215">
        <f t="shared" si="139"/>
        <v>0</v>
      </c>
      <c r="BH163" s="215" t="str">
        <f t="shared" si="140"/>
        <v/>
      </c>
      <c r="BI163" s="215" t="str">
        <f t="shared" si="141"/>
        <v/>
      </c>
      <c r="BJ163" s="215" t="str">
        <f t="shared" si="142"/>
        <v/>
      </c>
      <c r="BK163" s="215" t="str">
        <f t="shared" si="143"/>
        <v/>
      </c>
      <c r="BL163" s="215" t="str">
        <f t="shared" si="144"/>
        <v/>
      </c>
      <c r="BM163" s="216"/>
      <c r="BN163" s="214"/>
      <c r="BO163" s="215">
        <f t="shared" si="145"/>
        <v>0</v>
      </c>
      <c r="BP163" s="215">
        <f t="shared" si="146"/>
        <v>1.6299999999999999E-7</v>
      </c>
      <c r="BQ163" s="215" t="str">
        <f t="shared" si="152"/>
        <v>Adler Nürnberg 1</v>
      </c>
      <c r="BR163" s="214">
        <f t="shared" si="147"/>
        <v>6</v>
      </c>
      <c r="BS163" s="215">
        <f t="shared" si="148"/>
        <v>0</v>
      </c>
      <c r="BT163" s="215">
        <f>IF(COUNTIF(BH163:BL163,"&gt;0")&lt;Spielorte!$A$23,0,BE163/Spielorte!$A$23)</f>
        <v>0</v>
      </c>
      <c r="BU163" s="215">
        <f t="shared" si="149"/>
        <v>1.6299999999999999E-7</v>
      </c>
      <c r="BV163" s="214">
        <f t="shared" si="150"/>
        <v>6</v>
      </c>
    </row>
    <row r="164" spans="1:74" ht="17.100000000000001" customHeight="1" x14ac:dyDescent="0.2">
      <c r="A164" s="374"/>
      <c r="B164" s="19" t="str">
        <f t="shared" si="151"/>
        <v/>
      </c>
      <c r="C164" s="20" t="str">
        <f t="shared" si="151"/>
        <v/>
      </c>
      <c r="D164" s="15" t="str">
        <f t="shared" si="151"/>
        <v/>
      </c>
      <c r="E164" s="353"/>
      <c r="F164" s="15" t="str">
        <f t="shared" si="130"/>
        <v/>
      </c>
      <c r="G164" s="353"/>
      <c r="H164" s="15" t="str">
        <f t="shared" si="131"/>
        <v/>
      </c>
      <c r="I164" s="353"/>
      <c r="J164" s="15" t="str">
        <f t="shared" si="132"/>
        <v/>
      </c>
      <c r="K164" s="353"/>
      <c r="L164" s="15" t="str">
        <f t="shared" si="133"/>
        <v/>
      </c>
      <c r="M164" s="353"/>
      <c r="N164" s="15" t="str">
        <f t="shared" si="134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35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36"/>
        <v>0</v>
      </c>
      <c r="BE164" s="213">
        <f t="shared" si="137"/>
        <v>0</v>
      </c>
      <c r="BF164" s="215">
        <f t="shared" si="138"/>
        <v>0</v>
      </c>
      <c r="BG164" s="215">
        <f t="shared" si="139"/>
        <v>0</v>
      </c>
      <c r="BH164" s="215" t="str">
        <f t="shared" si="140"/>
        <v/>
      </c>
      <c r="BI164" s="215" t="str">
        <f t="shared" si="141"/>
        <v/>
      </c>
      <c r="BJ164" s="215" t="str">
        <f t="shared" si="142"/>
        <v/>
      </c>
      <c r="BK164" s="215" t="str">
        <f t="shared" si="143"/>
        <v/>
      </c>
      <c r="BL164" s="215" t="str">
        <f t="shared" si="144"/>
        <v/>
      </c>
      <c r="BM164" s="216"/>
      <c r="BN164" s="214"/>
      <c r="BO164" s="215">
        <f t="shared" si="145"/>
        <v>0</v>
      </c>
      <c r="BP164" s="215">
        <f t="shared" si="146"/>
        <v>1.6400000000000001E-7</v>
      </c>
      <c r="BQ164" s="215" t="str">
        <f t="shared" si="152"/>
        <v>Adler Nürnberg 1</v>
      </c>
      <c r="BR164" s="214">
        <f t="shared" si="147"/>
        <v>5</v>
      </c>
      <c r="BS164" s="215">
        <f t="shared" si="148"/>
        <v>0</v>
      </c>
      <c r="BT164" s="215">
        <f>IF(COUNTIF(BH164:BL164,"&gt;0")&lt;Spielorte!$A$23,0,BE164/Spielorte!$A$23)</f>
        <v>0</v>
      </c>
      <c r="BU164" s="215">
        <f t="shared" si="149"/>
        <v>1.6400000000000001E-7</v>
      </c>
      <c r="BV164" s="214">
        <f t="shared" si="150"/>
        <v>5</v>
      </c>
    </row>
    <row r="165" spans="1:74" ht="17.100000000000001" customHeight="1" thickBot="1" x14ac:dyDescent="0.25">
      <c r="A165" s="375"/>
      <c r="B165" s="21" t="str">
        <f t="shared" si="151"/>
        <v/>
      </c>
      <c r="C165" s="22" t="str">
        <f t="shared" si="151"/>
        <v/>
      </c>
      <c r="D165" s="9" t="str">
        <f t="shared" si="151"/>
        <v/>
      </c>
      <c r="E165" s="354"/>
      <c r="F165" s="9" t="str">
        <f t="shared" si="130"/>
        <v/>
      </c>
      <c r="G165" s="354"/>
      <c r="H165" s="9" t="str">
        <f t="shared" si="131"/>
        <v/>
      </c>
      <c r="I165" s="354"/>
      <c r="J165" s="9" t="str">
        <f t="shared" si="132"/>
        <v/>
      </c>
      <c r="K165" s="354"/>
      <c r="L165" s="9" t="str">
        <f t="shared" si="133"/>
        <v/>
      </c>
      <c r="M165" s="354"/>
      <c r="N165" s="9" t="str">
        <f t="shared" si="134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35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36"/>
        <v>0</v>
      </c>
      <c r="BE165" s="213">
        <f t="shared" si="137"/>
        <v>0</v>
      </c>
      <c r="BF165" s="215">
        <f t="shared" si="138"/>
        <v>0</v>
      </c>
      <c r="BG165" s="215">
        <f t="shared" si="139"/>
        <v>0</v>
      </c>
      <c r="BH165" s="215" t="str">
        <f t="shared" si="140"/>
        <v/>
      </c>
      <c r="BI165" s="215" t="str">
        <f t="shared" si="141"/>
        <v/>
      </c>
      <c r="BJ165" s="215" t="str">
        <f t="shared" si="142"/>
        <v/>
      </c>
      <c r="BK165" s="215" t="str">
        <f t="shared" si="143"/>
        <v/>
      </c>
      <c r="BL165" s="215" t="str">
        <f t="shared" si="144"/>
        <v/>
      </c>
      <c r="BM165" s="216"/>
      <c r="BN165" s="214"/>
      <c r="BO165" s="215">
        <f t="shared" si="145"/>
        <v>0</v>
      </c>
      <c r="BP165" s="215">
        <f t="shared" si="146"/>
        <v>1.6500000000000001E-7</v>
      </c>
      <c r="BQ165" s="215" t="str">
        <f t="shared" si="152"/>
        <v>Adler Nürnberg 1</v>
      </c>
      <c r="BR165" s="214">
        <f t="shared" si="147"/>
        <v>4</v>
      </c>
      <c r="BS165" s="215">
        <f t="shared" si="148"/>
        <v>0</v>
      </c>
      <c r="BT165" s="215">
        <f>IF(COUNTIF(BH165:BL165,"&gt;0")&lt;Spielorte!$A$23,0,BE165/Spielorte!$A$23)</f>
        <v>0</v>
      </c>
      <c r="BU165" s="215">
        <f t="shared" si="149"/>
        <v>1.6500000000000001E-7</v>
      </c>
      <c r="BV165" s="214">
        <f t="shared" si="150"/>
        <v>4</v>
      </c>
    </row>
    <row r="166" spans="1:74" ht="17.100000000000001" customHeight="1" x14ac:dyDescent="0.2">
      <c r="A166" s="373" t="s">
        <v>11</v>
      </c>
      <c r="B166" s="17" t="str">
        <f>IF(S166=0,"",S166)</f>
        <v/>
      </c>
      <c r="C166" s="18" t="str">
        <f t="shared" si="151"/>
        <v/>
      </c>
      <c r="D166" s="14" t="str">
        <f t="shared" si="151"/>
        <v/>
      </c>
      <c r="E166" s="352">
        <f>IF(V166="","",V166)</f>
        <v>0</v>
      </c>
      <c r="F166" s="14" t="str">
        <f t="shared" si="130"/>
        <v/>
      </c>
      <c r="G166" s="352">
        <f>IF(X166="","",X166)</f>
        <v>0</v>
      </c>
      <c r="H166" s="14" t="str">
        <f t="shared" si="131"/>
        <v/>
      </c>
      <c r="I166" s="352">
        <f>IF(Z166="","",Z166)</f>
        <v>0</v>
      </c>
      <c r="J166" s="14" t="str">
        <f t="shared" si="132"/>
        <v/>
      </c>
      <c r="K166" s="352">
        <f>IF(AB166="","",AB166)</f>
        <v>0</v>
      </c>
      <c r="L166" s="14" t="str">
        <f t="shared" si="133"/>
        <v/>
      </c>
      <c r="M166" s="352">
        <f>IF(AD166="","",AD166)</f>
        <v>0</v>
      </c>
      <c r="N166" s="14" t="str">
        <f t="shared" si="134"/>
        <v/>
      </c>
      <c r="O166" s="352">
        <f>IF(AF166="","",AF166)</f>
        <v>0</v>
      </c>
      <c r="R166" s="355" t="s">
        <v>11</v>
      </c>
      <c r="S166" s="68" t="str">
        <f>IF(T166=0,"",VLOOKUP(T166,Starter!$A$1:$D$196,2,FALSE))</f>
        <v/>
      </c>
      <c r="T166" s="178"/>
      <c r="U166" s="186"/>
      <c r="V166" s="95">
        <f>IF(SUM(U166:U168)+U178=0,0,IF(ABS(SUM(U166:U168))=U178,0.5,IF(ABS(SUM(U166:U168))&gt;U178,1,0)))</f>
        <v>0</v>
      </c>
      <c r="W166" s="186"/>
      <c r="X166" s="95">
        <f>IF(SUM(W166:W168)+W178=0,0,IF(ABS(SUM(W166:W168))=W178,0.5,IF(ABS(SUM(W166:W168))&gt;W178,1,0)))</f>
        <v>0</v>
      </c>
      <c r="Y166" s="186"/>
      <c r="Z166" s="95">
        <f>IF(SUM(Y166:Y168)+Y178=0,0,IF(ABS(SUM(Y166:Y168))=Y178,0.5,IF(ABS(SUM(Y166:Y168))&gt;Y178,1,0)))</f>
        <v>0</v>
      </c>
      <c r="AA166" s="186"/>
      <c r="AB166" s="95">
        <f>IF(SUM(AA166:AA168)+AA178=0,0,IF(ABS(SUM(AA166:AA168))=AA178,0.5,IF(ABS(SUM(AA166:AA168))&gt;AA178,1,0)))</f>
        <v>0</v>
      </c>
      <c r="AC166" s="186"/>
      <c r="AD166" s="95">
        <f>IF(SUM(AC166:AC168)+AC178=0,0,IF(ABS(SUM(AC166:AC168))=AC178,0.5,IF(ABS(SUM(AC166:AC168))&gt;AC178,1,0)))</f>
        <v>0</v>
      </c>
      <c r="AE166" s="195">
        <f t="shared" si="135"/>
        <v>0</v>
      </c>
      <c r="AF166" s="180">
        <f>SUM(V166+X166+Z166+AB166+AD166)</f>
        <v>0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36"/>
        <v>0</v>
      </c>
      <c r="BE166" s="213">
        <f t="shared" si="137"/>
        <v>0</v>
      </c>
      <c r="BF166" s="215">
        <f t="shared" si="138"/>
        <v>0</v>
      </c>
      <c r="BG166" s="215">
        <f t="shared" si="139"/>
        <v>0</v>
      </c>
      <c r="BH166" s="215" t="str">
        <f t="shared" si="140"/>
        <v/>
      </c>
      <c r="BI166" s="215" t="str">
        <f t="shared" si="141"/>
        <v/>
      </c>
      <c r="BJ166" s="215" t="str">
        <f t="shared" si="142"/>
        <v/>
      </c>
      <c r="BK166" s="215" t="str">
        <f t="shared" si="143"/>
        <v/>
      </c>
      <c r="BL166" s="215" t="str">
        <f t="shared" si="144"/>
        <v/>
      </c>
      <c r="BM166" s="216"/>
      <c r="BN166" s="214"/>
      <c r="BO166" s="215">
        <f t="shared" si="145"/>
        <v>0</v>
      </c>
      <c r="BP166" s="215">
        <f t="shared" si="146"/>
        <v>1.66E-7</v>
      </c>
      <c r="BQ166" s="215" t="str">
        <f t="shared" si="152"/>
        <v>Adler Nürnberg 1</v>
      </c>
      <c r="BR166" s="214">
        <f t="shared" si="147"/>
        <v>3</v>
      </c>
      <c r="BS166" s="215">
        <f t="shared" si="148"/>
        <v>0</v>
      </c>
      <c r="BT166" s="215">
        <f>IF(COUNTIF(BH166:BL166,"&gt;0")&lt;Spielorte!$A$23,0,BE166/Spielorte!$A$23)</f>
        <v>0</v>
      </c>
      <c r="BU166" s="215">
        <f t="shared" si="149"/>
        <v>1.66E-7</v>
      </c>
      <c r="BV166" s="214">
        <f t="shared" si="150"/>
        <v>3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51"/>
        <v/>
      </c>
      <c r="D167" s="15" t="str">
        <f t="shared" si="151"/>
        <v/>
      </c>
      <c r="E167" s="353"/>
      <c r="F167" s="15" t="str">
        <f t="shared" si="130"/>
        <v/>
      </c>
      <c r="G167" s="353"/>
      <c r="H167" s="15" t="str">
        <f t="shared" si="131"/>
        <v/>
      </c>
      <c r="I167" s="353"/>
      <c r="J167" s="15" t="str">
        <f t="shared" si="132"/>
        <v/>
      </c>
      <c r="K167" s="353"/>
      <c r="L167" s="15" t="str">
        <f t="shared" si="133"/>
        <v/>
      </c>
      <c r="M167" s="353"/>
      <c r="N167" s="15" t="str">
        <f t="shared" si="134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35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36"/>
        <v>0</v>
      </c>
      <c r="BE167" s="213">
        <f t="shared" si="137"/>
        <v>0</v>
      </c>
      <c r="BF167" s="215">
        <f t="shared" si="138"/>
        <v>0</v>
      </c>
      <c r="BG167" s="215">
        <f t="shared" si="139"/>
        <v>0</v>
      </c>
      <c r="BH167" s="215" t="str">
        <f t="shared" si="140"/>
        <v/>
      </c>
      <c r="BI167" s="215" t="str">
        <f t="shared" si="141"/>
        <v/>
      </c>
      <c r="BJ167" s="215" t="str">
        <f t="shared" si="142"/>
        <v/>
      </c>
      <c r="BK167" s="215" t="str">
        <f t="shared" si="143"/>
        <v/>
      </c>
      <c r="BL167" s="215" t="str">
        <f t="shared" si="144"/>
        <v/>
      </c>
      <c r="BM167" s="216"/>
      <c r="BN167" s="214"/>
      <c r="BO167" s="215">
        <f t="shared" si="145"/>
        <v>0</v>
      </c>
      <c r="BP167" s="215">
        <f t="shared" si="146"/>
        <v>1.67E-7</v>
      </c>
      <c r="BQ167" s="215" t="str">
        <f t="shared" si="152"/>
        <v>Adler Nürnberg 1</v>
      </c>
      <c r="BR167" s="214">
        <f t="shared" si="147"/>
        <v>2</v>
      </c>
      <c r="BS167" s="215">
        <f t="shared" si="148"/>
        <v>0</v>
      </c>
      <c r="BT167" s="215">
        <f>IF(COUNTIF(BH167:BL167,"&gt;0")&lt;Spielorte!$A$23,0,BE167/Spielorte!$A$23)</f>
        <v>0</v>
      </c>
      <c r="BU167" s="215">
        <f t="shared" si="149"/>
        <v>1.67E-7</v>
      </c>
      <c r="BV167" s="214">
        <f t="shared" si="150"/>
        <v>2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51"/>
        <v/>
      </c>
      <c r="D168" s="9" t="str">
        <f t="shared" si="151"/>
        <v/>
      </c>
      <c r="E168" s="354"/>
      <c r="F168" s="9" t="str">
        <f t="shared" si="130"/>
        <v/>
      </c>
      <c r="G168" s="354"/>
      <c r="H168" s="9" t="str">
        <f t="shared" si="131"/>
        <v/>
      </c>
      <c r="I168" s="354"/>
      <c r="J168" s="9" t="str">
        <f t="shared" si="132"/>
        <v/>
      </c>
      <c r="K168" s="354"/>
      <c r="L168" s="9" t="str">
        <f t="shared" si="133"/>
        <v/>
      </c>
      <c r="M168" s="354"/>
      <c r="N168" s="9" t="str">
        <f t="shared" si="134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35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36"/>
        <v>0</v>
      </c>
      <c r="BE168" s="213">
        <f t="shared" si="137"/>
        <v>0</v>
      </c>
      <c r="BF168" s="215">
        <f t="shared" si="138"/>
        <v>0</v>
      </c>
      <c r="BG168" s="215">
        <f t="shared" si="139"/>
        <v>0</v>
      </c>
      <c r="BH168" s="215" t="str">
        <f t="shared" si="140"/>
        <v/>
      </c>
      <c r="BI168" s="215" t="str">
        <f t="shared" si="141"/>
        <v/>
      </c>
      <c r="BJ168" s="215" t="str">
        <f t="shared" si="142"/>
        <v/>
      </c>
      <c r="BK168" s="215" t="str">
        <f t="shared" si="143"/>
        <v/>
      </c>
      <c r="BL168" s="215" t="str">
        <f t="shared" si="144"/>
        <v/>
      </c>
      <c r="BM168" s="216"/>
      <c r="BN168" s="214"/>
      <c r="BO168" s="215">
        <f t="shared" si="145"/>
        <v>0</v>
      </c>
      <c r="BP168" s="215">
        <f t="shared" si="146"/>
        <v>1.68E-7</v>
      </c>
      <c r="BQ168" s="215" t="str">
        <f t="shared" si="152"/>
        <v>Adler Nürnberg 1</v>
      </c>
      <c r="BR168" s="214">
        <f t="shared" si="147"/>
        <v>1</v>
      </c>
      <c r="BS168" s="215">
        <f t="shared" si="148"/>
        <v>0</v>
      </c>
      <c r="BT168" s="215">
        <f>IF(COUNTIF(BH168:BL168,"&gt;0")&lt;Spielorte!$A$23,0,BE168/Spielorte!$A$23)</f>
        <v>0</v>
      </c>
      <c r="BU168" s="215">
        <f t="shared" si="149"/>
        <v>1.68E-7</v>
      </c>
      <c r="BV168" s="214">
        <f t="shared" si="150"/>
        <v>1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51"/>
        <v/>
      </c>
      <c r="D169" s="16" t="str">
        <f t="shared" si="151"/>
        <v/>
      </c>
      <c r="E169" s="12">
        <f>IF(V169="","",V169)</f>
        <v>0</v>
      </c>
      <c r="F169" s="16" t="str">
        <f t="shared" si="130"/>
        <v/>
      </c>
      <c r="G169" s="12">
        <f>IF(X169="","",X169)</f>
        <v>0</v>
      </c>
      <c r="H169" s="16" t="str">
        <f t="shared" si="131"/>
        <v/>
      </c>
      <c r="I169" s="12">
        <f>IF(Z169="","",Z169)</f>
        <v>0</v>
      </c>
      <c r="J169" s="16" t="str">
        <f t="shared" si="132"/>
        <v/>
      </c>
      <c r="K169" s="12">
        <f>IF(AB169="","",AB169)</f>
        <v>0</v>
      </c>
      <c r="L169" s="16" t="str">
        <f t="shared" si="133"/>
        <v/>
      </c>
      <c r="M169" s="12">
        <f>IF(AD169="","",AD169)</f>
        <v>0</v>
      </c>
      <c r="N169" s="16" t="str">
        <f t="shared" si="134"/>
        <v/>
      </c>
      <c r="O169" s="12">
        <f>IF(AF169="","",AF169)</f>
        <v>0</v>
      </c>
      <c r="S169" s="11" t="s">
        <v>1791</v>
      </c>
      <c r="T169" s="71"/>
      <c r="U169" s="188">
        <f>ABS(SUM(U157:U159))+ABS(SUM(U160:U162))+ABS(SUM(U163:U165))+ABS(SUM(U166:U168))</f>
        <v>0</v>
      </c>
      <c r="V169" s="98">
        <f>IF(U169+U179=0,0,IF(U169=U179,1,IF(U169&gt;U179,2,0)))</f>
        <v>0</v>
      </c>
      <c r="W169" s="188">
        <f>ABS(SUM(W157:W159))+ABS(SUM(W160:W162))+ABS(SUM(W163:W165))+ABS(SUM(W166:W168))</f>
        <v>0</v>
      </c>
      <c r="X169" s="98">
        <f>IF(W169+W179=0,0,IF(W169=W179,1,IF(W169&gt;W179,2,0)))</f>
        <v>0</v>
      </c>
      <c r="Y169" s="188">
        <f>ABS(SUM(Y157:Y159))+ABS(SUM(Y160:Y162))+ABS(SUM(Y163:Y165))+ABS(SUM(Y166:Y168))</f>
        <v>0</v>
      </c>
      <c r="Z169" s="98">
        <f>IF(Y169+Y179=0,0,IF(Y169=Y179,1,IF(Y169&gt;Y179,2,0)))</f>
        <v>0</v>
      </c>
      <c r="AA169" s="188">
        <f>ABS(SUM(AA157:AA159))+ABS(SUM(AA160:AA162))+ABS(SUM(AA163:AA165))+ABS(SUM(AA166:AA168))</f>
        <v>0</v>
      </c>
      <c r="AB169" s="98">
        <f>IF(AA169+AA179=0,0,IF(AA169=AA179,1,IF(AA169&gt;AA179,2,0)))</f>
        <v>0</v>
      </c>
      <c r="AC169" s="188">
        <f>ABS(SUM(AC157:AC159))+ABS(SUM(AC160:AC162))+ABS(SUM(AC163:AC165))+ABS(SUM(AC166:AC168))</f>
        <v>0</v>
      </c>
      <c r="AD169" s="98">
        <f>IF(AC169+AC179=0,0,IF(AC169=AC179,1,IF(AC169&gt;AC179,2,0)))</f>
        <v>0</v>
      </c>
      <c r="AE169" s="198">
        <f>SUM(U169+W169+Y169+AA169+AC169)</f>
        <v>0</v>
      </c>
      <c r="AF169" s="12">
        <f>SUM(V169+X169+Z169+AB169+AD169)</f>
        <v>0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51"/>
        <v/>
      </c>
      <c r="D170" s="1" t="str">
        <f t="shared" si="151"/>
        <v/>
      </c>
      <c r="E170" s="23">
        <f>IF(V170="","",V170)</f>
        <v>0</v>
      </c>
      <c r="F170" s="1" t="str">
        <f t="shared" si="130"/>
        <v/>
      </c>
      <c r="G170" s="23">
        <f>IF(X170="","",X170)</f>
        <v>0</v>
      </c>
      <c r="H170" s="1" t="str">
        <f t="shared" si="131"/>
        <v/>
      </c>
      <c r="I170" s="23">
        <f>IF(Z170="","",Z170)</f>
        <v>0</v>
      </c>
      <c r="J170" s="1" t="str">
        <f t="shared" si="132"/>
        <v/>
      </c>
      <c r="K170" s="23">
        <f>IF(AB170="","",AB170)</f>
        <v>0</v>
      </c>
      <c r="L170" s="1" t="str">
        <f t="shared" si="133"/>
        <v/>
      </c>
      <c r="M170" s="23">
        <f>IF(AD170="","",AD170)</f>
        <v>0</v>
      </c>
      <c r="N170" s="1" t="str">
        <f t="shared" si="134"/>
        <v/>
      </c>
      <c r="O170" s="23">
        <f>IF(AF170="","",AF170)</f>
        <v>0</v>
      </c>
      <c r="S170" s="8" t="s">
        <v>1802</v>
      </c>
      <c r="T170" s="1"/>
      <c r="U170" s="1"/>
      <c r="V170" s="72">
        <f>SUM(V157:V169)</f>
        <v>0</v>
      </c>
      <c r="W170" s="1"/>
      <c r="X170" s="72">
        <f>SUM(X157:X169)</f>
        <v>0</v>
      </c>
      <c r="Y170" s="1"/>
      <c r="Z170" s="72">
        <f>SUM(Z157:Z169)</f>
        <v>0</v>
      </c>
      <c r="AA170" s="1"/>
      <c r="AB170" s="72">
        <f>SUM(AB157:AB169)</f>
        <v>0</v>
      </c>
      <c r="AC170" s="1"/>
      <c r="AD170" s="72">
        <f>SUM(AD157:AD169)</f>
        <v>0</v>
      </c>
      <c r="AE170" s="1"/>
      <c r="AF170" s="72">
        <f>SUM(AF157:AF169)</f>
        <v>0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0</v>
      </c>
      <c r="BB170" s="213">
        <f>AE169</f>
        <v>0</v>
      </c>
      <c r="BC170" s="214">
        <f>+S152</f>
        <v>6</v>
      </c>
      <c r="BF170" s="215">
        <f>SUM(BF151:BF169)</f>
        <v>0</v>
      </c>
      <c r="BM170" s="212">
        <f>+BB170/1000000+BA170</f>
        <v>0</v>
      </c>
      <c r="BN170" s="214">
        <f>RANK(BM170,BM:BM)</f>
        <v>1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M172" si="153">IF(S172=0,"",S172)</f>
        <v>Gegner-Nr.:</v>
      </c>
      <c r="C172" s="5" t="str">
        <f t="shared" si="153"/>
        <v>&gt;&gt;&gt;&gt;</v>
      </c>
      <c r="D172" s="350">
        <f t="shared" si="153"/>
        <v>5</v>
      </c>
      <c r="E172" s="350" t="str">
        <f t="shared" si="153"/>
        <v/>
      </c>
      <c r="F172" s="350">
        <f t="shared" si="153"/>
        <v>1</v>
      </c>
      <c r="G172" s="350" t="str">
        <f t="shared" si="153"/>
        <v/>
      </c>
      <c r="H172" s="350">
        <f t="shared" si="153"/>
        <v>4</v>
      </c>
      <c r="I172" s="350" t="str">
        <f t="shared" si="153"/>
        <v/>
      </c>
      <c r="J172" s="350">
        <f t="shared" si="153"/>
        <v>2</v>
      </c>
      <c r="K172" s="350" t="str">
        <f t="shared" si="153"/>
        <v/>
      </c>
      <c r="L172" s="350">
        <f t="shared" si="153"/>
        <v>3</v>
      </c>
      <c r="M172" s="350" t="str">
        <f t="shared" si="153"/>
        <v/>
      </c>
      <c r="N172" s="351"/>
      <c r="O172" s="351"/>
      <c r="S172" s="13" t="s">
        <v>1789</v>
      </c>
      <c r="T172" s="5" t="s">
        <v>1790</v>
      </c>
      <c r="U172" s="369">
        <f>VLOOKUP($S152,Schlüssel!$A$5:$DG$10,103)</f>
        <v>5</v>
      </c>
      <c r="V172" s="370"/>
      <c r="W172" s="369">
        <f>VLOOKUP($S152,Schlüssel!$A$5:$EK$10,104)</f>
        <v>1</v>
      </c>
      <c r="X172" s="370"/>
      <c r="Y172" s="369">
        <f>VLOOKUP($S152,Schlüssel!$A$5:$EK$10,105)</f>
        <v>4</v>
      </c>
      <c r="Z172" s="370"/>
      <c r="AA172" s="369">
        <f>VLOOKUP($S152,Schlüssel!$A$5:$EK$10,106)</f>
        <v>2</v>
      </c>
      <c r="AB172" s="370"/>
      <c r="AC172" s="369">
        <f>VLOOKUP($S152,Schlüssel!$A$5:$EK$10,107)</f>
        <v>3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ref="B173:K174" si="154">IF(S173=0,"",S173)</f>
        <v/>
      </c>
      <c r="C173" s="1" t="str">
        <f t="shared" si="154"/>
        <v/>
      </c>
      <c r="D173" s="347" t="str">
        <f t="shared" si="154"/>
        <v>Castra Regina Regensburg 2</v>
      </c>
      <c r="E173" s="348" t="str">
        <f t="shared" si="154"/>
        <v/>
      </c>
      <c r="F173" s="347" t="str">
        <f t="shared" si="154"/>
        <v>Castra Regina Regensburg 3</v>
      </c>
      <c r="G173" s="348" t="str">
        <f t="shared" si="154"/>
        <v/>
      </c>
      <c r="H173" s="347" t="str">
        <f t="shared" si="154"/>
        <v>Kings Club Bayreuth Land 3</v>
      </c>
      <c r="I173" s="348" t="str">
        <f t="shared" si="154"/>
        <v/>
      </c>
      <c r="J173" s="347" t="str">
        <f t="shared" si="154"/>
        <v>Herzogenaurach 1</v>
      </c>
      <c r="K173" s="348" t="str">
        <f t="shared" si="154"/>
        <v/>
      </c>
      <c r="L173" s="347" t="str">
        <f>IF(AC173=0,"",AC173)</f>
        <v>Kings Club Bayreuth Land 2</v>
      </c>
      <c r="M173" s="348" t="str">
        <f>IF(AD173=0,"",AD173)</f>
        <v/>
      </c>
      <c r="N173" s="349"/>
      <c r="O173" s="349"/>
      <c r="S173" s="4"/>
      <c r="T173" s="1"/>
      <c r="U173" s="347" t="str">
        <f>VLOOKUP(U172,Schlüssel!$A$5:$K$10,2)</f>
        <v>Castra Regina Regensburg 2</v>
      </c>
      <c r="V173" s="348"/>
      <c r="W173" s="347" t="str">
        <f>VLOOKUP(W172,Schlüssel!$A$5:$K$10,2)</f>
        <v>Castra Regina Regensburg 3</v>
      </c>
      <c r="X173" s="348"/>
      <c r="Y173" s="347" t="str">
        <f>VLOOKUP(Y172,Schlüssel!$A$5:$K$10,2)</f>
        <v>Kings Club Bayreuth Land 3</v>
      </c>
      <c r="Z173" s="348"/>
      <c r="AA173" s="347" t="str">
        <f>VLOOKUP(AA172,Schlüssel!$A$5:$K$10,2)</f>
        <v>Herzogenaurach 1</v>
      </c>
      <c r="AB173" s="348"/>
      <c r="AC173" s="347" t="str">
        <f>VLOOKUP(AC172,Schlüssel!$A$5:$K$10,2)</f>
        <v>Kings Club Bayreuth Land 2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54"/>
        <v/>
      </c>
      <c r="C174" s="1" t="str">
        <f t="shared" si="154"/>
        <v/>
      </c>
      <c r="D174" s="346" t="str">
        <f t="shared" si="154"/>
        <v/>
      </c>
      <c r="E174" s="346" t="str">
        <f t="shared" si="154"/>
        <v/>
      </c>
      <c r="F174" s="346" t="str">
        <f t="shared" si="154"/>
        <v/>
      </c>
      <c r="G174" s="346" t="str">
        <f t="shared" si="154"/>
        <v/>
      </c>
      <c r="H174" s="346" t="str">
        <f t="shared" si="154"/>
        <v/>
      </c>
      <c r="I174" s="346" t="str">
        <f t="shared" si="154"/>
        <v/>
      </c>
      <c r="J174" s="346" t="str">
        <f t="shared" si="154"/>
        <v/>
      </c>
      <c r="K174" s="346" t="str">
        <f t="shared" si="154"/>
        <v/>
      </c>
      <c r="L174" s="346" t="str">
        <f>IF(AC174=0,"",AC174)</f>
        <v/>
      </c>
      <c r="M174" s="346" t="str">
        <f>IF(AD174=0,"",AD174)</f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ref="B175:C179" si="155">IF(S175=0,"",S175)</f>
        <v>Spieler 1</v>
      </c>
      <c r="C175" s="372" t="str">
        <f t="shared" si="155"/>
        <v/>
      </c>
      <c r="D175" s="344">
        <f>IF(U175=301,"",U175)</f>
        <v>0</v>
      </c>
      <c r="E175" s="344" t="str">
        <f>IF(V175=0,"",V175)</f>
        <v/>
      </c>
      <c r="F175" s="344">
        <f>IF(W175=301,"",W175)</f>
        <v>0</v>
      </c>
      <c r="G175" s="344" t="str">
        <f>IF(X175=0,"",X175)</f>
        <v/>
      </c>
      <c r="H175" s="344">
        <f>IF(Y175=301,"",Y175)</f>
        <v>0</v>
      </c>
      <c r="I175" s="344" t="str">
        <f>IF(Z175=0,"",Z175)</f>
        <v/>
      </c>
      <c r="J175" s="344">
        <f>IF(AA175=301,"",AA175)</f>
        <v>0</v>
      </c>
      <c r="K175" s="344" t="str">
        <f>IF(AB175=0,"",AB175)</f>
        <v/>
      </c>
      <c r="L175" s="344">
        <f>IF(AC175=301,"",AC175)</f>
        <v>0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0</v>
      </c>
      <c r="V175" s="368"/>
      <c r="W175" s="367">
        <f>ABS(INDEX(W:W,MATCH(W172,$S:$S,0)+5)+INDEX(W:W,MATCH(W172,$S:$S,0)+6)+INDEX(W:W,MATCH(W172,$S:$S,0)+7))</f>
        <v>0</v>
      </c>
      <c r="X175" s="368"/>
      <c r="Y175" s="367">
        <f>ABS(INDEX(Y:Y,MATCH(Y172,$S:$S,0)+5)+INDEX(Y:Y,MATCH(Y172,$S:$S,0)+6)+INDEX(Y:Y,MATCH(Y172,$S:$S,0)+7))</f>
        <v>0</v>
      </c>
      <c r="Z175" s="368"/>
      <c r="AA175" s="367">
        <f>ABS(INDEX(AA:AA,MATCH(AA172,$S:$S,0)+5)+INDEX(AA:AA,MATCH(AA172,$S:$S,0)+6)+INDEX(AA:AA,MATCH(AA172,$S:$S,0)+7))</f>
        <v>0</v>
      </c>
      <c r="AB175" s="368"/>
      <c r="AC175" s="367">
        <f>ABS(INDEX(AC:AC,MATCH(AC172,$S:$S,0)+5)+INDEX(AC:AC,MATCH(AC172,$S:$S,0)+6)+INDEX(AC:AC,MATCH(AC172,$S:$S,0)+7))</f>
        <v>0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55"/>
        <v>Spieler 2</v>
      </c>
      <c r="C176" s="372" t="str">
        <f t="shared" si="155"/>
        <v/>
      </c>
      <c r="D176" s="344">
        <f>IF(U176=301,"",U176)</f>
        <v>0</v>
      </c>
      <c r="E176" s="344" t="str">
        <f>IF(V176=0,"",V176)</f>
        <v/>
      </c>
      <c r="F176" s="344">
        <f>IF(W176=301,"",W176)</f>
        <v>0</v>
      </c>
      <c r="G176" s="344" t="str">
        <f>IF(X176=0,"",X176)</f>
        <v/>
      </c>
      <c r="H176" s="344">
        <f>IF(Y176=301,"",Y176)</f>
        <v>0</v>
      </c>
      <c r="I176" s="344" t="str">
        <f>IF(Z176=0,"",Z176)</f>
        <v/>
      </c>
      <c r="J176" s="344">
        <f>IF(AA176=301,"",AA176)</f>
        <v>0</v>
      </c>
      <c r="K176" s="344" t="str">
        <f>IF(AB176=0,"",AB176)</f>
        <v/>
      </c>
      <c r="L176" s="344">
        <f>IF(AC176=301,"",AC176)</f>
        <v>0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0</v>
      </c>
      <c r="V176" s="366"/>
      <c r="W176" s="365">
        <f>ABS(INDEX(W:W,MATCH(W172,$S:$S,0)+8)+INDEX(W:W,MATCH(W172,$S:$S,0)+9)+INDEX(W:W,MATCH(W172,$S:$S,0)+10))</f>
        <v>0</v>
      </c>
      <c r="X176" s="366"/>
      <c r="Y176" s="365">
        <f>ABS(INDEX(Y:Y,MATCH(Y172,$S:$S,0)+8)+INDEX(Y:Y,MATCH(Y172,$S:$S,0)+9)+INDEX(Y:Y,MATCH(Y172,$S:$S,0)+10))</f>
        <v>0</v>
      </c>
      <c r="Z176" s="366"/>
      <c r="AA176" s="365">
        <f>ABS(INDEX(AA:AA,MATCH(AA172,$S:$S,0)+8)+INDEX(AA:AA,MATCH(AA172,$S:$S,0)+9)+INDEX(AA:AA,MATCH(AA172,$S:$S,0)+10))</f>
        <v>0</v>
      </c>
      <c r="AB176" s="366"/>
      <c r="AC176" s="365">
        <f>ABS(INDEX(AC:AC,MATCH(AC172,$S:$S,0)+8)+INDEX(AC:AC,MATCH(AC172,$S:$S,0)+9)+INDEX(AC:AC,MATCH(AC172,$S:$S,0)+10))</f>
        <v>0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55"/>
        <v>Spieler 3</v>
      </c>
      <c r="C177" s="372" t="str">
        <f t="shared" si="155"/>
        <v/>
      </c>
      <c r="D177" s="344">
        <f>IF(U177=301,"",U177)</f>
        <v>0</v>
      </c>
      <c r="E177" s="344" t="str">
        <f>IF(V177=0,"",V177)</f>
        <v/>
      </c>
      <c r="F177" s="344">
        <f>IF(W177=301,"",W177)</f>
        <v>0</v>
      </c>
      <c r="G177" s="344" t="str">
        <f>IF(X177=0,"",X177)</f>
        <v/>
      </c>
      <c r="H177" s="344">
        <f>IF(Y177=301,"",Y177)</f>
        <v>0</v>
      </c>
      <c r="I177" s="344" t="str">
        <f>IF(Z177=0,"",Z177)</f>
        <v/>
      </c>
      <c r="J177" s="344">
        <f>IF(AA177=301,"",AA177)</f>
        <v>0</v>
      </c>
      <c r="K177" s="344" t="str">
        <f>IF(AB177=0,"",AB177)</f>
        <v/>
      </c>
      <c r="L177" s="344">
        <f>IF(AC177=301,"",AC177)</f>
        <v>0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0</v>
      </c>
      <c r="V177" s="366"/>
      <c r="W177" s="365">
        <f>ABS(INDEX(W:W,MATCH(W172,$S:$S,0)+11)+INDEX(W:W,MATCH(W172,$S:$S,0)+12)+INDEX(W:W,MATCH(W172,$S:$S,0)+13))</f>
        <v>0</v>
      </c>
      <c r="X177" s="366"/>
      <c r="Y177" s="365">
        <f>ABS(INDEX(Y:Y,MATCH(Y172,$S:$S,0)+11)+INDEX(Y:Y,MATCH(Y172,$S:$S,0)+12)+INDEX(Y:Y,MATCH(Y172,$S:$S,0)+13))</f>
        <v>0</v>
      </c>
      <c r="Z177" s="366"/>
      <c r="AA177" s="365">
        <f>ABS(INDEX(AA:AA,MATCH(AA172,$S:$S,0)+11)+INDEX(AA:AA,MATCH(AA172,$S:$S,0)+12)+INDEX(AA:AA,MATCH(AA172,$S:$S,0)+13))</f>
        <v>0</v>
      </c>
      <c r="AB177" s="366"/>
      <c r="AC177" s="365">
        <f>ABS(INDEX(AC:AC,MATCH(AC172,$S:$S,0)+11)+INDEX(AC:AC,MATCH(AC172,$S:$S,0)+12)+INDEX(AC:AC,MATCH(AC172,$S:$S,0)+13))</f>
        <v>0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55"/>
        <v>Spieler 4</v>
      </c>
      <c r="C178" s="372" t="str">
        <f t="shared" si="155"/>
        <v/>
      </c>
      <c r="D178" s="344">
        <f>IF(U178=301,"",U178)</f>
        <v>0</v>
      </c>
      <c r="E178" s="344" t="str">
        <f>IF(V178=0,"",V178)</f>
        <v/>
      </c>
      <c r="F178" s="344">
        <f>IF(W178=301,"",W178)</f>
        <v>0</v>
      </c>
      <c r="G178" s="344" t="str">
        <f>IF(X178=0,"",X178)</f>
        <v/>
      </c>
      <c r="H178" s="344">
        <f>IF(Y178=301,"",Y178)</f>
        <v>0</v>
      </c>
      <c r="I178" s="344" t="str">
        <f>IF(Z178=0,"",Z178)</f>
        <v/>
      </c>
      <c r="J178" s="344">
        <f>IF(AA178=301,"",AA178)</f>
        <v>0</v>
      </c>
      <c r="K178" s="344" t="str">
        <f>IF(AB178=0,"",AB178)</f>
        <v/>
      </c>
      <c r="L178" s="344">
        <f>IF(AC178=301,"",AC178)</f>
        <v>0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0</v>
      </c>
      <c r="V178" s="366"/>
      <c r="W178" s="365">
        <f>ABS(INDEX(W:W,MATCH(W172,$S:$S,0)+14)+INDEX(W:W,MATCH(W172,$S:$S,0)+15)+INDEX(W:W,MATCH(W172,$S:$S,0)+16))</f>
        <v>0</v>
      </c>
      <c r="X178" s="366"/>
      <c r="Y178" s="365">
        <f>ABS(INDEX(Y:Y,MATCH(Y172,$S:$S,0)+14)+INDEX(Y:Y,MATCH(Y172,$S:$S,0)+15)+INDEX(Y:Y,MATCH(Y172,$S:$S,0)+16))</f>
        <v>0</v>
      </c>
      <c r="Z178" s="366"/>
      <c r="AA178" s="365">
        <f>ABS(INDEX(AA:AA,MATCH(AA172,$S:$S,0)+14)+INDEX(AA:AA,MATCH(AA172,$S:$S,0)+15)+INDEX(AA:AA,MATCH(AA172,$S:$S,0)+16))</f>
        <v>0</v>
      </c>
      <c r="AB178" s="366"/>
      <c r="AC178" s="365">
        <f>ABS(INDEX(AC:AC,MATCH(AC172,$S:$S,0)+14)+INDEX(AC:AC,MATCH(AC172,$S:$S,0)+15)+INDEX(AC:AC,MATCH(AC172,$S:$S,0)+16))</f>
        <v>0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55"/>
        <v>Gesamt</v>
      </c>
      <c r="C179" s="360" t="str">
        <f t="shared" si="155"/>
        <v/>
      </c>
      <c r="D179" s="343">
        <f>IF(U179=1505,"",U179)</f>
        <v>0</v>
      </c>
      <c r="E179" s="343" t="str">
        <f>IF(V179=0,"",V179)</f>
        <v/>
      </c>
      <c r="F179" s="343">
        <f>IF(W179=1505,"",W179)</f>
        <v>0</v>
      </c>
      <c r="G179" s="343" t="str">
        <f>IF(X179=0,"",X179)</f>
        <v/>
      </c>
      <c r="H179" s="343">
        <f>IF(Y179=1505,"",Y179)</f>
        <v>0</v>
      </c>
      <c r="I179" s="343" t="str">
        <f>IF(Z179=0,"",Z179)</f>
        <v/>
      </c>
      <c r="J179" s="343">
        <f>IF(AA179=1505,"",AA179)</f>
        <v>0</v>
      </c>
      <c r="K179" s="343" t="str">
        <f>IF(AB179=0,"",AB179)</f>
        <v/>
      </c>
      <c r="L179" s="343">
        <f>IF(AC179=1505,"",AC179)</f>
        <v>0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0</v>
      </c>
      <c r="V179" s="360"/>
      <c r="W179" s="359">
        <f>SUM(W175:W178)</f>
        <v>0</v>
      </c>
      <c r="X179" s="360"/>
      <c r="Y179" s="359">
        <f>SUM(Y175:Y178)</f>
        <v>0</v>
      </c>
      <c r="Z179" s="360"/>
      <c r="AA179" s="359">
        <f>SUM(AA175:AA178)</f>
        <v>0</v>
      </c>
      <c r="AB179" s="360"/>
      <c r="AC179" s="359">
        <f>SUM(AC175:AC178)</f>
        <v>0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/>
  <mergeCells count="810">
    <mergeCell ref="P1:R1"/>
    <mergeCell ref="AD1:AF1"/>
    <mergeCell ref="M1:O1"/>
    <mergeCell ref="N5:O5"/>
    <mergeCell ref="D5:E5"/>
    <mergeCell ref="F5:G5"/>
    <mergeCell ref="H5:I5"/>
    <mergeCell ref="J5:K5"/>
    <mergeCell ref="L5:M5"/>
    <mergeCell ref="U5:V5"/>
    <mergeCell ref="W5:X5"/>
    <mergeCell ref="Y5:Z5"/>
    <mergeCell ref="AA5:AB5"/>
    <mergeCell ref="AC5:AD5"/>
    <mergeCell ref="AE5:AF5"/>
    <mergeCell ref="O10:O12"/>
    <mergeCell ref="R10:R12"/>
    <mergeCell ref="O7:O9"/>
    <mergeCell ref="R7:R9"/>
    <mergeCell ref="A10:A12"/>
    <mergeCell ref="E10:E12"/>
    <mergeCell ref="G10:G12"/>
    <mergeCell ref="I10:I12"/>
    <mergeCell ref="K10:K12"/>
    <mergeCell ref="M10:M12"/>
    <mergeCell ref="A7:A9"/>
    <mergeCell ref="E7:E9"/>
    <mergeCell ref="G7:G9"/>
    <mergeCell ref="I7:I9"/>
    <mergeCell ref="K7:K9"/>
    <mergeCell ref="M7:M9"/>
    <mergeCell ref="O16:O18"/>
    <mergeCell ref="R16:R18"/>
    <mergeCell ref="A16:A18"/>
    <mergeCell ref="E16:E18"/>
    <mergeCell ref="G16:G18"/>
    <mergeCell ref="I16:I18"/>
    <mergeCell ref="K16:K18"/>
    <mergeCell ref="M16:M18"/>
    <mergeCell ref="O13:O15"/>
    <mergeCell ref="R13:R15"/>
    <mergeCell ref="A13:A15"/>
    <mergeCell ref="E13:E15"/>
    <mergeCell ref="G13:G15"/>
    <mergeCell ref="I13:I15"/>
    <mergeCell ref="K13:K15"/>
    <mergeCell ref="M13:M15"/>
    <mergeCell ref="N24:O24"/>
    <mergeCell ref="D24:E24"/>
    <mergeCell ref="F24:G24"/>
    <mergeCell ref="H24:I24"/>
    <mergeCell ref="J24:K24"/>
    <mergeCell ref="L24:M24"/>
    <mergeCell ref="N22:O22"/>
    <mergeCell ref="AC23:AD23"/>
    <mergeCell ref="N23:O23"/>
    <mergeCell ref="U23:V23"/>
    <mergeCell ref="W23:X23"/>
    <mergeCell ref="Y23:Z23"/>
    <mergeCell ref="AA23:AB23"/>
    <mergeCell ref="D22:E22"/>
    <mergeCell ref="F22:G22"/>
    <mergeCell ref="H22:I22"/>
    <mergeCell ref="J22:K22"/>
    <mergeCell ref="L22:M22"/>
    <mergeCell ref="D23:E23"/>
    <mergeCell ref="F23:G23"/>
    <mergeCell ref="H23:I23"/>
    <mergeCell ref="J23:K23"/>
    <mergeCell ref="L23:M23"/>
    <mergeCell ref="U22:V22"/>
    <mergeCell ref="N27:O27"/>
    <mergeCell ref="B27:C27"/>
    <mergeCell ref="D27:E27"/>
    <mergeCell ref="F27:G27"/>
    <mergeCell ref="H27:I27"/>
    <mergeCell ref="J27:K27"/>
    <mergeCell ref="L27:M27"/>
    <mergeCell ref="N26:O26"/>
    <mergeCell ref="N25:O25"/>
    <mergeCell ref="B26:C26"/>
    <mergeCell ref="D26:E26"/>
    <mergeCell ref="F26:G26"/>
    <mergeCell ref="H26:I26"/>
    <mergeCell ref="J26:K26"/>
    <mergeCell ref="L26:M26"/>
    <mergeCell ref="B25:C25"/>
    <mergeCell ref="D25:E25"/>
    <mergeCell ref="F25:G25"/>
    <mergeCell ref="H25:I25"/>
    <mergeCell ref="J25:K25"/>
    <mergeCell ref="L25:M25"/>
    <mergeCell ref="N29:O29"/>
    <mergeCell ref="B29:C29"/>
    <mergeCell ref="D29:E29"/>
    <mergeCell ref="F29:G29"/>
    <mergeCell ref="H29:I29"/>
    <mergeCell ref="J29:K29"/>
    <mergeCell ref="L29:M29"/>
    <mergeCell ref="N28:O28"/>
    <mergeCell ref="B28:C28"/>
    <mergeCell ref="D28:E28"/>
    <mergeCell ref="F28:G28"/>
    <mergeCell ref="H28:I28"/>
    <mergeCell ref="J28:K28"/>
    <mergeCell ref="L28:M28"/>
    <mergeCell ref="N35:O35"/>
    <mergeCell ref="D35:E35"/>
    <mergeCell ref="F35:G35"/>
    <mergeCell ref="H35:I35"/>
    <mergeCell ref="J35:K35"/>
    <mergeCell ref="L35:M35"/>
    <mergeCell ref="P31:R31"/>
    <mergeCell ref="AD31:AF31"/>
    <mergeCell ref="M31:O31"/>
    <mergeCell ref="O40:O42"/>
    <mergeCell ref="R40:R42"/>
    <mergeCell ref="O37:O39"/>
    <mergeCell ref="R37:R39"/>
    <mergeCell ref="A40:A42"/>
    <mergeCell ref="E40:E42"/>
    <mergeCell ref="G40:G42"/>
    <mergeCell ref="I40:I42"/>
    <mergeCell ref="K40:K42"/>
    <mergeCell ref="M40:M42"/>
    <mergeCell ref="A37:A39"/>
    <mergeCell ref="E37:E39"/>
    <mergeCell ref="G37:G39"/>
    <mergeCell ref="I37:I39"/>
    <mergeCell ref="K37:K39"/>
    <mergeCell ref="M37:M39"/>
    <mergeCell ref="O46:O48"/>
    <mergeCell ref="R46:R48"/>
    <mergeCell ref="A46:A48"/>
    <mergeCell ref="E46:E48"/>
    <mergeCell ref="G46:G48"/>
    <mergeCell ref="I46:I48"/>
    <mergeCell ref="K46:K48"/>
    <mergeCell ref="M46:M48"/>
    <mergeCell ref="O43:O45"/>
    <mergeCell ref="R43:R45"/>
    <mergeCell ref="A43:A45"/>
    <mergeCell ref="E43:E45"/>
    <mergeCell ref="G43:G45"/>
    <mergeCell ref="I43:I45"/>
    <mergeCell ref="K43:K45"/>
    <mergeCell ref="M43:M45"/>
    <mergeCell ref="N54:O54"/>
    <mergeCell ref="D54:E54"/>
    <mergeCell ref="F54:G54"/>
    <mergeCell ref="H54:I54"/>
    <mergeCell ref="J54:K54"/>
    <mergeCell ref="L54:M54"/>
    <mergeCell ref="N52:O52"/>
    <mergeCell ref="AC53:AD53"/>
    <mergeCell ref="N53:O53"/>
    <mergeCell ref="U53:V53"/>
    <mergeCell ref="W53:X53"/>
    <mergeCell ref="Y53:Z53"/>
    <mergeCell ref="AA53:AB53"/>
    <mergeCell ref="D52:E52"/>
    <mergeCell ref="F52:G52"/>
    <mergeCell ref="H52:I52"/>
    <mergeCell ref="J52:K52"/>
    <mergeCell ref="L52:M52"/>
    <mergeCell ref="D53:E53"/>
    <mergeCell ref="F53:G53"/>
    <mergeCell ref="H53:I53"/>
    <mergeCell ref="J53:K53"/>
    <mergeCell ref="L53:M53"/>
    <mergeCell ref="N57:O57"/>
    <mergeCell ref="B57:C57"/>
    <mergeCell ref="D57:E57"/>
    <mergeCell ref="F57:G57"/>
    <mergeCell ref="H57:I57"/>
    <mergeCell ref="J57:K57"/>
    <mergeCell ref="L57:M57"/>
    <mergeCell ref="N56:O56"/>
    <mergeCell ref="N55:O55"/>
    <mergeCell ref="B56:C56"/>
    <mergeCell ref="D56:E56"/>
    <mergeCell ref="F56:G56"/>
    <mergeCell ref="H56:I56"/>
    <mergeCell ref="J56:K56"/>
    <mergeCell ref="L56:M56"/>
    <mergeCell ref="B55:C55"/>
    <mergeCell ref="D55:E55"/>
    <mergeCell ref="F55:G55"/>
    <mergeCell ref="H55:I55"/>
    <mergeCell ref="J55:K55"/>
    <mergeCell ref="L55:M55"/>
    <mergeCell ref="N59:O59"/>
    <mergeCell ref="B59:C59"/>
    <mergeCell ref="D59:E59"/>
    <mergeCell ref="F59:G59"/>
    <mergeCell ref="H59:I59"/>
    <mergeCell ref="J59:K59"/>
    <mergeCell ref="L59:M59"/>
    <mergeCell ref="N58:O58"/>
    <mergeCell ref="B58:C58"/>
    <mergeCell ref="D58:E58"/>
    <mergeCell ref="F58:G58"/>
    <mergeCell ref="H58:I58"/>
    <mergeCell ref="J58:K58"/>
    <mergeCell ref="L58:M58"/>
    <mergeCell ref="N65:O65"/>
    <mergeCell ref="D65:E65"/>
    <mergeCell ref="F65:G65"/>
    <mergeCell ref="H65:I65"/>
    <mergeCell ref="J65:K65"/>
    <mergeCell ref="L65:M65"/>
    <mergeCell ref="P61:R61"/>
    <mergeCell ref="AD61:AF61"/>
    <mergeCell ref="M61:O61"/>
    <mergeCell ref="AE65:AF65"/>
    <mergeCell ref="O70:O72"/>
    <mergeCell ref="R70:R72"/>
    <mergeCell ref="O67:O69"/>
    <mergeCell ref="R67:R69"/>
    <mergeCell ref="A70:A72"/>
    <mergeCell ref="E70:E72"/>
    <mergeCell ref="G70:G72"/>
    <mergeCell ref="I70:I72"/>
    <mergeCell ref="K70:K72"/>
    <mergeCell ref="M70:M72"/>
    <mergeCell ref="A67:A69"/>
    <mergeCell ref="E67:E69"/>
    <mergeCell ref="G67:G69"/>
    <mergeCell ref="I67:I69"/>
    <mergeCell ref="K67:K69"/>
    <mergeCell ref="M67:M69"/>
    <mergeCell ref="O76:O78"/>
    <mergeCell ref="R76:R78"/>
    <mergeCell ref="A76:A78"/>
    <mergeCell ref="E76:E78"/>
    <mergeCell ref="G76:G78"/>
    <mergeCell ref="I76:I78"/>
    <mergeCell ref="K76:K78"/>
    <mergeCell ref="M76:M78"/>
    <mergeCell ref="O73:O75"/>
    <mergeCell ref="R73:R75"/>
    <mergeCell ref="A73:A75"/>
    <mergeCell ref="E73:E75"/>
    <mergeCell ref="G73:G75"/>
    <mergeCell ref="I73:I75"/>
    <mergeCell ref="K73:K75"/>
    <mergeCell ref="M73:M75"/>
    <mergeCell ref="N84:O84"/>
    <mergeCell ref="D84:E84"/>
    <mergeCell ref="F84:G84"/>
    <mergeCell ref="H84:I84"/>
    <mergeCell ref="J84:K84"/>
    <mergeCell ref="L84:M84"/>
    <mergeCell ref="N82:O82"/>
    <mergeCell ref="AC83:AD83"/>
    <mergeCell ref="N83:O83"/>
    <mergeCell ref="U83:V83"/>
    <mergeCell ref="W83:X83"/>
    <mergeCell ref="Y83:Z83"/>
    <mergeCell ref="AA83:AB83"/>
    <mergeCell ref="D82:E82"/>
    <mergeCell ref="F82:G82"/>
    <mergeCell ref="H82:I82"/>
    <mergeCell ref="J82:K82"/>
    <mergeCell ref="L82:M82"/>
    <mergeCell ref="D83:E83"/>
    <mergeCell ref="F83:G83"/>
    <mergeCell ref="H83:I83"/>
    <mergeCell ref="J83:K83"/>
    <mergeCell ref="L83:M83"/>
    <mergeCell ref="U82:V82"/>
    <mergeCell ref="N87:O87"/>
    <mergeCell ref="B87:C87"/>
    <mergeCell ref="D87:E87"/>
    <mergeCell ref="F87:G87"/>
    <mergeCell ref="H87:I87"/>
    <mergeCell ref="J87:K87"/>
    <mergeCell ref="L87:M87"/>
    <mergeCell ref="N86:O86"/>
    <mergeCell ref="N85:O85"/>
    <mergeCell ref="B86:C86"/>
    <mergeCell ref="D86:E86"/>
    <mergeCell ref="F86:G86"/>
    <mergeCell ref="H86:I86"/>
    <mergeCell ref="J86:K86"/>
    <mergeCell ref="L86:M86"/>
    <mergeCell ref="B85:C85"/>
    <mergeCell ref="D85:E85"/>
    <mergeCell ref="F85:G85"/>
    <mergeCell ref="H85:I85"/>
    <mergeCell ref="J85:K85"/>
    <mergeCell ref="L85:M85"/>
    <mergeCell ref="N89:O89"/>
    <mergeCell ref="B89:C89"/>
    <mergeCell ref="D89:E89"/>
    <mergeCell ref="F89:G89"/>
    <mergeCell ref="H89:I89"/>
    <mergeCell ref="J89:K89"/>
    <mergeCell ref="L89:M89"/>
    <mergeCell ref="N88:O88"/>
    <mergeCell ref="B88:C88"/>
    <mergeCell ref="D88:E88"/>
    <mergeCell ref="F88:G88"/>
    <mergeCell ref="H88:I88"/>
    <mergeCell ref="J88:K88"/>
    <mergeCell ref="L88:M88"/>
    <mergeCell ref="N95:O95"/>
    <mergeCell ref="D95:E95"/>
    <mergeCell ref="F95:G95"/>
    <mergeCell ref="H95:I95"/>
    <mergeCell ref="J95:K95"/>
    <mergeCell ref="L95:M95"/>
    <mergeCell ref="P91:R91"/>
    <mergeCell ref="AD91:AF91"/>
    <mergeCell ref="M91:O91"/>
    <mergeCell ref="AE95:AF95"/>
    <mergeCell ref="O100:O102"/>
    <mergeCell ref="R100:R102"/>
    <mergeCell ref="O97:O99"/>
    <mergeCell ref="R97:R99"/>
    <mergeCell ref="A100:A102"/>
    <mergeCell ref="E100:E102"/>
    <mergeCell ref="G100:G102"/>
    <mergeCell ref="I100:I102"/>
    <mergeCell ref="K100:K102"/>
    <mergeCell ref="M100:M102"/>
    <mergeCell ref="A97:A99"/>
    <mergeCell ref="E97:E99"/>
    <mergeCell ref="G97:G99"/>
    <mergeCell ref="I97:I99"/>
    <mergeCell ref="K97:K99"/>
    <mergeCell ref="M97:M99"/>
    <mergeCell ref="O106:O108"/>
    <mergeCell ref="R106:R108"/>
    <mergeCell ref="A106:A108"/>
    <mergeCell ref="E106:E108"/>
    <mergeCell ref="G106:G108"/>
    <mergeCell ref="I106:I108"/>
    <mergeCell ref="K106:K108"/>
    <mergeCell ref="M106:M108"/>
    <mergeCell ref="O103:O105"/>
    <mergeCell ref="R103:R105"/>
    <mergeCell ref="A103:A105"/>
    <mergeCell ref="E103:E105"/>
    <mergeCell ref="G103:G105"/>
    <mergeCell ref="I103:I105"/>
    <mergeCell ref="K103:K105"/>
    <mergeCell ref="M103:M105"/>
    <mergeCell ref="N114:O114"/>
    <mergeCell ref="D114:E114"/>
    <mergeCell ref="F114:G114"/>
    <mergeCell ref="H114:I114"/>
    <mergeCell ref="J114:K114"/>
    <mergeCell ref="L114:M114"/>
    <mergeCell ref="N112:O112"/>
    <mergeCell ref="AC113:AD113"/>
    <mergeCell ref="N113:O113"/>
    <mergeCell ref="U113:V113"/>
    <mergeCell ref="W113:X113"/>
    <mergeCell ref="Y113:Z113"/>
    <mergeCell ref="AA113:AB113"/>
    <mergeCell ref="D112:E112"/>
    <mergeCell ref="F112:G112"/>
    <mergeCell ref="H112:I112"/>
    <mergeCell ref="J112:K112"/>
    <mergeCell ref="L112:M112"/>
    <mergeCell ref="D113:E113"/>
    <mergeCell ref="F113:G113"/>
    <mergeCell ref="H113:I113"/>
    <mergeCell ref="J113:K113"/>
    <mergeCell ref="L113:M113"/>
    <mergeCell ref="U112:V112"/>
    <mergeCell ref="N117:O117"/>
    <mergeCell ref="B117:C117"/>
    <mergeCell ref="D117:E117"/>
    <mergeCell ref="F117:G117"/>
    <mergeCell ref="H117:I117"/>
    <mergeCell ref="J117:K117"/>
    <mergeCell ref="L117:M117"/>
    <mergeCell ref="N116:O116"/>
    <mergeCell ref="N115:O115"/>
    <mergeCell ref="B116:C116"/>
    <mergeCell ref="D116:E116"/>
    <mergeCell ref="F116:G116"/>
    <mergeCell ref="H116:I116"/>
    <mergeCell ref="J116:K116"/>
    <mergeCell ref="L116:M116"/>
    <mergeCell ref="B115:C115"/>
    <mergeCell ref="D115:E115"/>
    <mergeCell ref="F115:G115"/>
    <mergeCell ref="H115:I115"/>
    <mergeCell ref="J115:K115"/>
    <mergeCell ref="L115:M115"/>
    <mergeCell ref="N119:O119"/>
    <mergeCell ref="B119:C119"/>
    <mergeCell ref="D119:E119"/>
    <mergeCell ref="F119:G119"/>
    <mergeCell ref="H119:I119"/>
    <mergeCell ref="J119:K119"/>
    <mergeCell ref="L119:M119"/>
    <mergeCell ref="N118:O118"/>
    <mergeCell ref="B118:C118"/>
    <mergeCell ref="D118:E118"/>
    <mergeCell ref="F118:G118"/>
    <mergeCell ref="H118:I118"/>
    <mergeCell ref="J118:K118"/>
    <mergeCell ref="L118:M118"/>
    <mergeCell ref="N125:O125"/>
    <mergeCell ref="D125:E125"/>
    <mergeCell ref="F125:G125"/>
    <mergeCell ref="H125:I125"/>
    <mergeCell ref="J125:K125"/>
    <mergeCell ref="L125:M125"/>
    <mergeCell ref="P121:R121"/>
    <mergeCell ref="AD121:AF121"/>
    <mergeCell ref="M121:O121"/>
    <mergeCell ref="AE125:AF125"/>
    <mergeCell ref="O130:O132"/>
    <mergeCell ref="R130:R132"/>
    <mergeCell ref="O127:O129"/>
    <mergeCell ref="R127:R129"/>
    <mergeCell ref="A130:A132"/>
    <mergeCell ref="E130:E132"/>
    <mergeCell ref="G130:G132"/>
    <mergeCell ref="I130:I132"/>
    <mergeCell ref="K130:K132"/>
    <mergeCell ref="M130:M132"/>
    <mergeCell ref="A127:A129"/>
    <mergeCell ref="E127:E129"/>
    <mergeCell ref="G127:G129"/>
    <mergeCell ref="I127:I129"/>
    <mergeCell ref="K127:K129"/>
    <mergeCell ref="M127:M129"/>
    <mergeCell ref="O136:O138"/>
    <mergeCell ref="R136:R138"/>
    <mergeCell ref="A136:A138"/>
    <mergeCell ref="E136:E138"/>
    <mergeCell ref="G136:G138"/>
    <mergeCell ref="I136:I138"/>
    <mergeCell ref="K136:K138"/>
    <mergeCell ref="M136:M138"/>
    <mergeCell ref="O133:O135"/>
    <mergeCell ref="R133:R135"/>
    <mergeCell ref="A133:A135"/>
    <mergeCell ref="E133:E135"/>
    <mergeCell ref="G133:G135"/>
    <mergeCell ref="I133:I135"/>
    <mergeCell ref="K133:K135"/>
    <mergeCell ref="M133:M135"/>
    <mergeCell ref="N144:O144"/>
    <mergeCell ref="D144:E144"/>
    <mergeCell ref="F144:G144"/>
    <mergeCell ref="H144:I144"/>
    <mergeCell ref="J144:K144"/>
    <mergeCell ref="L144:M144"/>
    <mergeCell ref="N142:O142"/>
    <mergeCell ref="AC143:AD143"/>
    <mergeCell ref="N143:O143"/>
    <mergeCell ref="U143:V143"/>
    <mergeCell ref="W143:X143"/>
    <mergeCell ref="Y143:Z143"/>
    <mergeCell ref="AA143:AB143"/>
    <mergeCell ref="D142:E142"/>
    <mergeCell ref="F142:G142"/>
    <mergeCell ref="H142:I142"/>
    <mergeCell ref="J142:K142"/>
    <mergeCell ref="L142:M142"/>
    <mergeCell ref="D143:E143"/>
    <mergeCell ref="F143:G143"/>
    <mergeCell ref="H143:I143"/>
    <mergeCell ref="J143:K143"/>
    <mergeCell ref="L143:M143"/>
    <mergeCell ref="U142:V142"/>
    <mergeCell ref="N147:O147"/>
    <mergeCell ref="B147:C147"/>
    <mergeCell ref="D147:E147"/>
    <mergeCell ref="F147:G147"/>
    <mergeCell ref="H147:I147"/>
    <mergeCell ref="J147:K147"/>
    <mergeCell ref="L147:M147"/>
    <mergeCell ref="N146:O146"/>
    <mergeCell ref="N145:O145"/>
    <mergeCell ref="B146:C146"/>
    <mergeCell ref="D146:E146"/>
    <mergeCell ref="F146:G146"/>
    <mergeCell ref="H146:I146"/>
    <mergeCell ref="J146:K146"/>
    <mergeCell ref="L146:M146"/>
    <mergeCell ref="B145:C145"/>
    <mergeCell ref="D145:E145"/>
    <mergeCell ref="F145:G145"/>
    <mergeCell ref="H145:I145"/>
    <mergeCell ref="J145:K145"/>
    <mergeCell ref="L145:M145"/>
    <mergeCell ref="N149:O149"/>
    <mergeCell ref="B149:C149"/>
    <mergeCell ref="D149:E149"/>
    <mergeCell ref="F149:G149"/>
    <mergeCell ref="H149:I149"/>
    <mergeCell ref="J149:K149"/>
    <mergeCell ref="L149:M149"/>
    <mergeCell ref="N148:O148"/>
    <mergeCell ref="B148:C148"/>
    <mergeCell ref="D148:E148"/>
    <mergeCell ref="F148:G148"/>
    <mergeCell ref="H148:I148"/>
    <mergeCell ref="J148:K148"/>
    <mergeCell ref="L148:M148"/>
    <mergeCell ref="N155:O155"/>
    <mergeCell ref="D155:E155"/>
    <mergeCell ref="F155:G155"/>
    <mergeCell ref="H155:I155"/>
    <mergeCell ref="J155:K155"/>
    <mergeCell ref="L155:M155"/>
    <mergeCell ref="P151:R151"/>
    <mergeCell ref="AD151:AF151"/>
    <mergeCell ref="M151:O151"/>
    <mergeCell ref="AE155:AF155"/>
    <mergeCell ref="O160:O162"/>
    <mergeCell ref="R160:R162"/>
    <mergeCell ref="O157:O159"/>
    <mergeCell ref="R157:R159"/>
    <mergeCell ref="A160:A162"/>
    <mergeCell ref="E160:E162"/>
    <mergeCell ref="G160:G162"/>
    <mergeCell ref="I160:I162"/>
    <mergeCell ref="K160:K162"/>
    <mergeCell ref="M160:M162"/>
    <mergeCell ref="A157:A159"/>
    <mergeCell ref="E157:E159"/>
    <mergeCell ref="G157:G159"/>
    <mergeCell ref="I157:I159"/>
    <mergeCell ref="K157:K159"/>
    <mergeCell ref="M157:M159"/>
    <mergeCell ref="O166:O168"/>
    <mergeCell ref="R166:R168"/>
    <mergeCell ref="A166:A168"/>
    <mergeCell ref="E166:E168"/>
    <mergeCell ref="G166:G168"/>
    <mergeCell ref="I166:I168"/>
    <mergeCell ref="K166:K168"/>
    <mergeCell ref="M166:M168"/>
    <mergeCell ref="O163:O165"/>
    <mergeCell ref="R163:R165"/>
    <mergeCell ref="A163:A165"/>
    <mergeCell ref="E163:E165"/>
    <mergeCell ref="G163:G165"/>
    <mergeCell ref="I163:I165"/>
    <mergeCell ref="K163:K165"/>
    <mergeCell ref="M163:M165"/>
    <mergeCell ref="N174:O174"/>
    <mergeCell ref="D174:E174"/>
    <mergeCell ref="F174:G174"/>
    <mergeCell ref="H174:I174"/>
    <mergeCell ref="J174:K174"/>
    <mergeCell ref="L174:M174"/>
    <mergeCell ref="N172:O172"/>
    <mergeCell ref="AC173:AD173"/>
    <mergeCell ref="N173:O173"/>
    <mergeCell ref="U173:V173"/>
    <mergeCell ref="W173:X173"/>
    <mergeCell ref="Y173:Z173"/>
    <mergeCell ref="AA173:AB173"/>
    <mergeCell ref="AC172:AD172"/>
    <mergeCell ref="D172:E172"/>
    <mergeCell ref="F172:G172"/>
    <mergeCell ref="H172:I172"/>
    <mergeCell ref="J172:K172"/>
    <mergeCell ref="L172:M172"/>
    <mergeCell ref="D173:E173"/>
    <mergeCell ref="F173:G173"/>
    <mergeCell ref="H173:I173"/>
    <mergeCell ref="J173:K173"/>
    <mergeCell ref="L173:M173"/>
    <mergeCell ref="N177:O177"/>
    <mergeCell ref="B177:C177"/>
    <mergeCell ref="D177:E177"/>
    <mergeCell ref="F177:G177"/>
    <mergeCell ref="H177:I177"/>
    <mergeCell ref="J177:K177"/>
    <mergeCell ref="L177:M177"/>
    <mergeCell ref="N176:O176"/>
    <mergeCell ref="N175:O175"/>
    <mergeCell ref="B176:C176"/>
    <mergeCell ref="D176:E176"/>
    <mergeCell ref="F176:G176"/>
    <mergeCell ref="H176:I176"/>
    <mergeCell ref="J176:K176"/>
    <mergeCell ref="L176:M176"/>
    <mergeCell ref="B175:C175"/>
    <mergeCell ref="D175:E175"/>
    <mergeCell ref="F175:G175"/>
    <mergeCell ref="H175:I175"/>
    <mergeCell ref="J175:K175"/>
    <mergeCell ref="L175:M175"/>
    <mergeCell ref="N179:O179"/>
    <mergeCell ref="B179:C179"/>
    <mergeCell ref="D179:E179"/>
    <mergeCell ref="F179:G179"/>
    <mergeCell ref="H179:I179"/>
    <mergeCell ref="J179:K179"/>
    <mergeCell ref="L179:M179"/>
    <mergeCell ref="N178:O178"/>
    <mergeCell ref="B178:C178"/>
    <mergeCell ref="D178:E178"/>
    <mergeCell ref="F178:G178"/>
    <mergeCell ref="H178:I178"/>
    <mergeCell ref="J178:K178"/>
    <mergeCell ref="L178:M178"/>
    <mergeCell ref="W22:X22"/>
    <mergeCell ref="Y22:Z22"/>
    <mergeCell ref="AA22:AB22"/>
    <mergeCell ref="AC22:AD22"/>
    <mergeCell ref="U25:V25"/>
    <mergeCell ref="W25:X25"/>
    <mergeCell ref="Y25:Z25"/>
    <mergeCell ref="AA25:AB25"/>
    <mergeCell ref="AC25:AD25"/>
    <mergeCell ref="U26:V26"/>
    <mergeCell ref="W26:X26"/>
    <mergeCell ref="Y26:Z26"/>
    <mergeCell ref="AA26:AB26"/>
    <mergeCell ref="AC26:AD26"/>
    <mergeCell ref="U27:V27"/>
    <mergeCell ref="W27:X27"/>
    <mergeCell ref="Y27:Z27"/>
    <mergeCell ref="AA27:AB27"/>
    <mergeCell ref="AC27:AD27"/>
    <mergeCell ref="U28:V28"/>
    <mergeCell ref="W28:X28"/>
    <mergeCell ref="Y28:Z28"/>
    <mergeCell ref="AA28:AB28"/>
    <mergeCell ref="AC28:AD28"/>
    <mergeCell ref="AE35:AF35"/>
    <mergeCell ref="U52:V52"/>
    <mergeCell ref="W52:X52"/>
    <mergeCell ref="Y52:Z52"/>
    <mergeCell ref="AA52:AB52"/>
    <mergeCell ref="AC52:AD52"/>
    <mergeCell ref="U29:V29"/>
    <mergeCell ref="W29:X29"/>
    <mergeCell ref="Y29:Z29"/>
    <mergeCell ref="AA29:AB29"/>
    <mergeCell ref="AC29:AD29"/>
    <mergeCell ref="U35:V35"/>
    <mergeCell ref="W35:X35"/>
    <mergeCell ref="Y35:Z35"/>
    <mergeCell ref="AA35:AB35"/>
    <mergeCell ref="AC35:AD35"/>
    <mergeCell ref="U55:V55"/>
    <mergeCell ref="W55:X55"/>
    <mergeCell ref="Y55:Z55"/>
    <mergeCell ref="AA55:AB55"/>
    <mergeCell ref="AC55:AD55"/>
    <mergeCell ref="U56:V56"/>
    <mergeCell ref="W56:X56"/>
    <mergeCell ref="Y56:Z56"/>
    <mergeCell ref="AA56:AB56"/>
    <mergeCell ref="AC56:AD56"/>
    <mergeCell ref="U57:V57"/>
    <mergeCell ref="W57:X57"/>
    <mergeCell ref="Y57:Z57"/>
    <mergeCell ref="AA57:AB57"/>
    <mergeCell ref="AC57:AD57"/>
    <mergeCell ref="U58:V58"/>
    <mergeCell ref="W58:X58"/>
    <mergeCell ref="Y58:Z58"/>
    <mergeCell ref="AA58:AB58"/>
    <mergeCell ref="AC58:AD58"/>
    <mergeCell ref="W82:X82"/>
    <mergeCell ref="Y82:Z82"/>
    <mergeCell ref="AA82:AB82"/>
    <mergeCell ref="AC82:AD82"/>
    <mergeCell ref="U59:V59"/>
    <mergeCell ref="W59:X59"/>
    <mergeCell ref="Y59:Z59"/>
    <mergeCell ref="AA59:AB59"/>
    <mergeCell ref="AC59:AD59"/>
    <mergeCell ref="U65:V65"/>
    <mergeCell ref="W65:X65"/>
    <mergeCell ref="Y65:Z65"/>
    <mergeCell ref="AA65:AB65"/>
    <mergeCell ref="AC65:AD65"/>
    <mergeCell ref="U85:V85"/>
    <mergeCell ref="W85:X85"/>
    <mergeCell ref="Y85:Z85"/>
    <mergeCell ref="AA85:AB85"/>
    <mergeCell ref="AC85:AD85"/>
    <mergeCell ref="U86:V86"/>
    <mergeCell ref="W86:X86"/>
    <mergeCell ref="Y86:Z86"/>
    <mergeCell ref="AA86:AB86"/>
    <mergeCell ref="AC86:AD86"/>
    <mergeCell ref="U87:V87"/>
    <mergeCell ref="W87:X87"/>
    <mergeCell ref="Y87:Z87"/>
    <mergeCell ref="AA87:AB87"/>
    <mergeCell ref="AC87:AD87"/>
    <mergeCell ref="U88:V88"/>
    <mergeCell ref="W88:X88"/>
    <mergeCell ref="Y88:Z88"/>
    <mergeCell ref="AA88:AB88"/>
    <mergeCell ref="AC88:AD88"/>
    <mergeCell ref="W112:X112"/>
    <mergeCell ref="Y112:Z112"/>
    <mergeCell ref="AA112:AB112"/>
    <mergeCell ref="AC112:AD112"/>
    <mergeCell ref="U89:V89"/>
    <mergeCell ref="W89:X89"/>
    <mergeCell ref="Y89:Z89"/>
    <mergeCell ref="AA89:AB89"/>
    <mergeCell ref="AC89:AD89"/>
    <mergeCell ref="U95:V95"/>
    <mergeCell ref="W95:X95"/>
    <mergeCell ref="Y95:Z95"/>
    <mergeCell ref="AA95:AB95"/>
    <mergeCell ref="AC95:AD95"/>
    <mergeCell ref="U115:V115"/>
    <mergeCell ref="W115:X115"/>
    <mergeCell ref="Y115:Z115"/>
    <mergeCell ref="AA115:AB115"/>
    <mergeCell ref="AC115:AD115"/>
    <mergeCell ref="U116:V116"/>
    <mergeCell ref="W116:X116"/>
    <mergeCell ref="Y116:Z116"/>
    <mergeCell ref="AA116:AB116"/>
    <mergeCell ref="AC116:AD116"/>
    <mergeCell ref="U117:V117"/>
    <mergeCell ref="W117:X117"/>
    <mergeCell ref="Y117:Z117"/>
    <mergeCell ref="AA117:AB117"/>
    <mergeCell ref="AC117:AD117"/>
    <mergeCell ref="U118:V118"/>
    <mergeCell ref="W118:X118"/>
    <mergeCell ref="Y118:Z118"/>
    <mergeCell ref="AA118:AB118"/>
    <mergeCell ref="AC118:AD118"/>
    <mergeCell ref="W142:X142"/>
    <mergeCell ref="Y142:Z142"/>
    <mergeCell ref="AA142:AB142"/>
    <mergeCell ref="AC142:AD142"/>
    <mergeCell ref="U119:V119"/>
    <mergeCell ref="W119:X119"/>
    <mergeCell ref="Y119:Z119"/>
    <mergeCell ref="AA119:AB119"/>
    <mergeCell ref="AC119:AD119"/>
    <mergeCell ref="U125:V125"/>
    <mergeCell ref="W125:X125"/>
    <mergeCell ref="Y125:Z125"/>
    <mergeCell ref="AA125:AB125"/>
    <mergeCell ref="AC125:AD125"/>
    <mergeCell ref="U145:V145"/>
    <mergeCell ref="W145:X145"/>
    <mergeCell ref="Y145:Z145"/>
    <mergeCell ref="AA145:AB145"/>
    <mergeCell ref="AC145:AD145"/>
    <mergeCell ref="U146:V146"/>
    <mergeCell ref="W146:X146"/>
    <mergeCell ref="Y146:Z146"/>
    <mergeCell ref="AA146:AB146"/>
    <mergeCell ref="AC146:AD146"/>
    <mergeCell ref="U147:V147"/>
    <mergeCell ref="W147:X147"/>
    <mergeCell ref="Y147:Z147"/>
    <mergeCell ref="AA147:AB147"/>
    <mergeCell ref="AC147:AD147"/>
    <mergeCell ref="U148:V148"/>
    <mergeCell ref="W148:X148"/>
    <mergeCell ref="Y148:Z148"/>
    <mergeCell ref="AA148:AB148"/>
    <mergeCell ref="AC148:AD148"/>
    <mergeCell ref="U172:V172"/>
    <mergeCell ref="W172:X172"/>
    <mergeCell ref="Y172:Z172"/>
    <mergeCell ref="AA172:AB172"/>
    <mergeCell ref="U149:V149"/>
    <mergeCell ref="W149:X149"/>
    <mergeCell ref="Y149:Z149"/>
    <mergeCell ref="AA149:AB149"/>
    <mergeCell ref="AC149:AD149"/>
    <mergeCell ref="U155:V155"/>
    <mergeCell ref="W155:X155"/>
    <mergeCell ref="Y155:Z155"/>
    <mergeCell ref="AA155:AB155"/>
    <mergeCell ref="AC155:AD155"/>
    <mergeCell ref="U175:V175"/>
    <mergeCell ref="W175:X175"/>
    <mergeCell ref="Y175:Z175"/>
    <mergeCell ref="AA175:AB175"/>
    <mergeCell ref="AC175:AD175"/>
    <mergeCell ref="U176:V176"/>
    <mergeCell ref="W176:X176"/>
    <mergeCell ref="Y176:Z176"/>
    <mergeCell ref="AA176:AB176"/>
    <mergeCell ref="AC176:AD176"/>
    <mergeCell ref="U179:V179"/>
    <mergeCell ref="W179:X179"/>
    <mergeCell ref="Y179:Z179"/>
    <mergeCell ref="AA179:AB179"/>
    <mergeCell ref="AC179:AD179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</mergeCells>
  <dataValidations count="1">
    <dataValidation type="whole" allowBlank="1" showErrorMessage="1" error="Es sind nur Zahlen zwischen -300 und 300 erlaubt!" sqref="U157:AD168 U127:AD138 U37:AD48 U67:AD78 U97:AD108 U7:AD18" xr:uid="{E6C8BCC0-490A-4BAE-AEF3-2DDA369BEBB1}">
      <formula1>-300</formula1>
      <formula2>300</formula2>
    </dataValidation>
  </dataValidations>
  <pageMargins left="0.70866141732283472" right="0.70866141732283472" top="0.78740157480314965" bottom="0.39370078740157483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F4D54-F7A2-4BC6-9F64-056C41DB6432}">
  <sheetPr>
    <tabColor rgb="FFFFFF00"/>
  </sheetPr>
  <dimension ref="A1:AE22"/>
  <sheetViews>
    <sheetView workbookViewId="0">
      <selection activeCell="O12" sqref="O12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16" width="4.42578125" customWidth="1"/>
    <col min="17" max="17" width="11.42578125" customWidth="1"/>
    <col min="18" max="18" width="14.28515625" customWidth="1"/>
    <col min="19" max="26" width="11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 t="s">
        <v>1785</v>
      </c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 t="str">
        <f>+Erfassung6!AD1</f>
        <v>27.04.</v>
      </c>
      <c r="O1" s="378"/>
      <c r="P1" s="51"/>
      <c r="Q1" s="51"/>
      <c r="AA1" s="215" t="s">
        <v>2091</v>
      </c>
    </row>
    <row r="2" spans="1:31" ht="28.5" customHeight="1" x14ac:dyDescent="0.2">
      <c r="A2" s="379" t="str">
        <f>"Saison "&amp;Spielorte!C18&amp;"     -     Spieltag "&amp;Erfassung6!AD2&amp;"     -     "&amp;TEXT(Erfassung6!AD1,"T. MMMM JJJJ")</f>
        <v>Saison 2024/2025     -     Spieltag 6     -     27.04.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</row>
    <row r="3" spans="1:31" ht="28.5" customHeight="1" x14ac:dyDescent="0.2">
      <c r="A3" s="379" t="str">
        <f>+Erfassung6!V2</f>
        <v>Regensburg Super Bowl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</row>
    <row r="4" spans="1:31" ht="28.5" customHeight="1" thickBot="1" x14ac:dyDescent="0.35">
      <c r="A4" s="64"/>
      <c r="B4" s="64"/>
      <c r="C4" s="205" t="s">
        <v>1786</v>
      </c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INDEX(Erfassung6!$S:$S,MATCH($A7,Erfassung6!$BN:$BN,0)-17)</f>
        <v>Castra Regina Regensburg 3</v>
      </c>
      <c r="C7" s="99">
        <f>INDEX(Erfassung6!U:U,MATCH($A7,Erfassung6!$BN:$BN,0)-1)</f>
        <v>0</v>
      </c>
      <c r="D7" s="100">
        <f>INDEX(Erfassung6!V:V,MATCH($A7,Erfassung6!$BN:$BN,0))</f>
        <v>0</v>
      </c>
      <c r="E7" s="99">
        <f>INDEX(Erfassung6!W:W,MATCH($A7,Erfassung6!$BN:$BN,0)-1)</f>
        <v>0</v>
      </c>
      <c r="F7" s="100">
        <f>INDEX(Erfassung6!X:X,MATCH($A7,Erfassung6!$BN:$BN,0))</f>
        <v>0</v>
      </c>
      <c r="G7" s="99">
        <f>INDEX(Erfassung6!Y:Y,MATCH($A7,Erfassung6!$BN:$BN,0)-1)</f>
        <v>0</v>
      </c>
      <c r="H7" s="100">
        <f>INDEX(Erfassung6!Z:Z,MATCH($A7,Erfassung6!$BN:$BN,0))</f>
        <v>0</v>
      </c>
      <c r="I7" s="99">
        <f>INDEX(Erfassung6!AA:AA,MATCH($A7,Erfassung6!$BN:$BN,0)-1)</f>
        <v>0</v>
      </c>
      <c r="J7" s="100">
        <f>INDEX(Erfassung6!AB:AB,MATCH($A7,Erfassung6!$BN:$BN,0))</f>
        <v>0</v>
      </c>
      <c r="K7" s="99">
        <f>INDEX(Erfassung6!AC:AC,MATCH($A7,Erfassung6!$BN:$BN,0)-1)</f>
        <v>0</v>
      </c>
      <c r="L7" s="100">
        <f>INDEX(Erfassung6!AD:AD,MATCH($A7,Erfassung6!$BN:$BN,0))</f>
        <v>0</v>
      </c>
      <c r="M7" s="101">
        <f t="shared" ref="M7:N12" si="0">SUM(C7+E7+G7+I7+K7)</f>
        <v>0</v>
      </c>
      <c r="N7" s="102">
        <f t="shared" si="0"/>
        <v>0</v>
      </c>
      <c r="O7" s="76">
        <f>IFERROR(M7/INDEX(Erfassung6!BF:BF,MATCH(A7,Erfassung6!BN:BN,0)),0)</f>
        <v>0</v>
      </c>
      <c r="P7" s="122"/>
      <c r="Q7" s="51"/>
      <c r="AA7" s="213">
        <f>INDEX(TabGes5!M:M,MATCH(B7,TabGes5!B:B,0))+M7</f>
        <v>17416</v>
      </c>
      <c r="AB7" s="213">
        <f>INDEX(TabGes5!N:N,MATCH(B7,TabGes5!B:B,0))+N7</f>
        <v>76.5</v>
      </c>
      <c r="AC7" s="215">
        <f t="shared" ref="AC7:AC12" si="1">+AB7+AA7/1000000000</f>
        <v>76.500017416000006</v>
      </c>
      <c r="AD7" s="215" t="e">
        <f t="shared" ref="AD7:AD12" si="2">RANK(AC7,AC:AC)</f>
        <v>#N/A</v>
      </c>
      <c r="AE7" s="215">
        <f>INDEX(Tabelle5!AE:AE,MATCH(B7,Tabelle5!B:B,0))+SUMIF(Erfassung6!BQ:BQ,B7,Erfassung6!BF:BF)</f>
        <v>100</v>
      </c>
    </row>
    <row r="8" spans="1:31" ht="42" customHeight="1" thickBot="1" x14ac:dyDescent="0.25">
      <c r="A8" s="209">
        <v>2</v>
      </c>
      <c r="B8" s="121" t="e">
        <f>INDEX(Erfassung6!$S:$S,MATCH($A8,Erfassung6!$BN:$BN,0)-17)</f>
        <v>#N/A</v>
      </c>
      <c r="C8" s="99" t="e">
        <f>INDEX(Erfassung6!U:U,MATCH($A8,Erfassung6!$BN:$BN,0)-1)</f>
        <v>#N/A</v>
      </c>
      <c r="D8" s="100" t="e">
        <f>INDEX(Erfassung6!V:V,MATCH($A8,Erfassung6!$BN:$BN,0))</f>
        <v>#N/A</v>
      </c>
      <c r="E8" s="99" t="e">
        <f>INDEX(Erfassung6!W:W,MATCH($A8,Erfassung6!$BN:$BN,0)-1)</f>
        <v>#N/A</v>
      </c>
      <c r="F8" s="100" t="e">
        <f>INDEX(Erfassung6!X:X,MATCH($A8,Erfassung6!$BN:$BN,0))</f>
        <v>#N/A</v>
      </c>
      <c r="G8" s="99" t="e">
        <f>INDEX(Erfassung6!Y:Y,MATCH($A8,Erfassung6!$BN:$BN,0)-1)</f>
        <v>#N/A</v>
      </c>
      <c r="H8" s="100" t="e">
        <f>INDEX(Erfassung6!Z:Z,MATCH($A8,Erfassung6!$BN:$BN,0))</f>
        <v>#N/A</v>
      </c>
      <c r="I8" s="99" t="e">
        <f>INDEX(Erfassung6!AA:AA,MATCH($A8,Erfassung6!$BN:$BN,0)-1)</f>
        <v>#N/A</v>
      </c>
      <c r="J8" s="100" t="e">
        <f>INDEX(Erfassung6!AB:AB,MATCH($A8,Erfassung6!$BN:$BN,0))</f>
        <v>#N/A</v>
      </c>
      <c r="K8" s="99" t="e">
        <f>INDEX(Erfassung6!AC:AC,MATCH($A8,Erfassung6!$BN:$BN,0)-1)</f>
        <v>#N/A</v>
      </c>
      <c r="L8" s="100" t="e">
        <f>INDEX(Erfassung6!AD:AD,MATCH($A8,Erfassung6!$BN:$BN,0))</f>
        <v>#N/A</v>
      </c>
      <c r="M8" s="101" t="e">
        <f t="shared" si="0"/>
        <v>#N/A</v>
      </c>
      <c r="N8" s="102" t="e">
        <f t="shared" si="0"/>
        <v>#N/A</v>
      </c>
      <c r="O8" s="76">
        <f>IFERROR(M8/INDEX(Erfassung6!BF:BF,MATCH(A8,Erfassung6!BN:BN,0)),0)</f>
        <v>0</v>
      </c>
      <c r="P8" s="122"/>
      <c r="Q8" s="51"/>
      <c r="AA8" s="213" t="e">
        <f>INDEX(TabGes5!M:M,MATCH(B8,TabGes5!B:B,0))+M8</f>
        <v>#N/A</v>
      </c>
      <c r="AB8" s="213" t="e">
        <f>INDEX(TabGes5!N:N,MATCH(B8,TabGes5!B:B,0))+N8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INDEX(Tabelle5!AE:AE,MATCH(B8,Tabelle5!B:B,0))+SUMIF(Erfassung6!BQ:BQ,B8,Erfassung6!BF:BF)</f>
        <v>#N/A</v>
      </c>
    </row>
    <row r="9" spans="1:31" ht="42" customHeight="1" thickBot="1" x14ac:dyDescent="0.25">
      <c r="A9" s="209">
        <v>3</v>
      </c>
      <c r="B9" s="121" t="e">
        <f>INDEX(Erfassung6!$S:$S,MATCH($A9,Erfassung6!$BN:$BN,0)-17)</f>
        <v>#N/A</v>
      </c>
      <c r="C9" s="99" t="e">
        <f>INDEX(Erfassung6!U:U,MATCH($A9,Erfassung6!$BN:$BN,0)-1)</f>
        <v>#N/A</v>
      </c>
      <c r="D9" s="100" t="e">
        <f>INDEX(Erfassung6!V:V,MATCH($A9,Erfassung6!$BN:$BN,0))</f>
        <v>#N/A</v>
      </c>
      <c r="E9" s="99" t="e">
        <f>INDEX(Erfassung6!W:W,MATCH($A9,Erfassung6!$BN:$BN,0)-1)</f>
        <v>#N/A</v>
      </c>
      <c r="F9" s="100" t="e">
        <f>INDEX(Erfassung6!X:X,MATCH($A9,Erfassung6!$BN:$BN,0))</f>
        <v>#N/A</v>
      </c>
      <c r="G9" s="99" t="e">
        <f>INDEX(Erfassung6!Y:Y,MATCH($A9,Erfassung6!$BN:$BN,0)-1)</f>
        <v>#N/A</v>
      </c>
      <c r="H9" s="100" t="e">
        <f>INDEX(Erfassung6!Z:Z,MATCH($A9,Erfassung6!$BN:$BN,0))</f>
        <v>#N/A</v>
      </c>
      <c r="I9" s="99" t="e">
        <f>INDEX(Erfassung6!AA:AA,MATCH($A9,Erfassung6!$BN:$BN,0)-1)</f>
        <v>#N/A</v>
      </c>
      <c r="J9" s="100" t="e">
        <f>INDEX(Erfassung6!AB:AB,MATCH($A9,Erfassung6!$BN:$BN,0))</f>
        <v>#N/A</v>
      </c>
      <c r="K9" s="99" t="e">
        <f>INDEX(Erfassung6!AC:AC,MATCH($A9,Erfassung6!$BN:$BN,0)-1)</f>
        <v>#N/A</v>
      </c>
      <c r="L9" s="100" t="e">
        <f>INDEX(Erfassung6!AD:AD,MATCH($A9,Erfassung6!$BN:$BN,0))</f>
        <v>#N/A</v>
      </c>
      <c r="M9" s="101" t="e">
        <f t="shared" si="0"/>
        <v>#N/A</v>
      </c>
      <c r="N9" s="102" t="e">
        <f t="shared" si="0"/>
        <v>#N/A</v>
      </c>
      <c r="O9" s="76">
        <f>IFERROR(M9/INDEX(Erfassung6!BF:BF,MATCH(A9,Erfassung6!BN:BN,0)),0)</f>
        <v>0</v>
      </c>
      <c r="P9" s="122"/>
      <c r="Q9" s="51"/>
      <c r="AA9" s="213" t="e">
        <f>INDEX(TabGes5!M:M,MATCH(B9,TabGes5!B:B,0))+M9</f>
        <v>#N/A</v>
      </c>
      <c r="AB9" s="213" t="e">
        <f>INDEX(TabGes5!N:N,MATCH(B9,TabGes5!B:B,0))+N9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INDEX(Tabelle5!AE:AE,MATCH(B9,Tabelle5!B:B,0))+SUMIF(Erfassung6!BQ:BQ,B9,Erfassung6!BF:BF)</f>
        <v>#N/A</v>
      </c>
    </row>
    <row r="10" spans="1:31" ht="42" customHeight="1" thickBot="1" x14ac:dyDescent="0.25">
      <c r="A10" s="209">
        <v>4</v>
      </c>
      <c r="B10" s="121" t="e">
        <f>INDEX(Erfassung6!$S:$S,MATCH($A10,Erfassung6!$BN:$BN,0)-17)</f>
        <v>#N/A</v>
      </c>
      <c r="C10" s="99" t="e">
        <f>INDEX(Erfassung6!U:U,MATCH($A10,Erfassung6!$BN:$BN,0)-1)</f>
        <v>#N/A</v>
      </c>
      <c r="D10" s="100" t="e">
        <f>INDEX(Erfassung6!V:V,MATCH($A10,Erfassung6!$BN:$BN,0))</f>
        <v>#N/A</v>
      </c>
      <c r="E10" s="99" t="e">
        <f>INDEX(Erfassung6!W:W,MATCH($A10,Erfassung6!$BN:$BN,0)-1)</f>
        <v>#N/A</v>
      </c>
      <c r="F10" s="100" t="e">
        <f>INDEX(Erfassung6!X:X,MATCH($A10,Erfassung6!$BN:$BN,0))</f>
        <v>#N/A</v>
      </c>
      <c r="G10" s="99" t="e">
        <f>INDEX(Erfassung6!Y:Y,MATCH($A10,Erfassung6!$BN:$BN,0)-1)</f>
        <v>#N/A</v>
      </c>
      <c r="H10" s="100" t="e">
        <f>INDEX(Erfassung6!Z:Z,MATCH($A10,Erfassung6!$BN:$BN,0))</f>
        <v>#N/A</v>
      </c>
      <c r="I10" s="99" t="e">
        <f>INDEX(Erfassung6!AA:AA,MATCH($A10,Erfassung6!$BN:$BN,0)-1)</f>
        <v>#N/A</v>
      </c>
      <c r="J10" s="100" t="e">
        <f>INDEX(Erfassung6!AB:AB,MATCH($A10,Erfassung6!$BN:$BN,0))</f>
        <v>#N/A</v>
      </c>
      <c r="K10" s="99" t="e">
        <f>INDEX(Erfassung6!AC:AC,MATCH($A10,Erfassung6!$BN:$BN,0)-1)</f>
        <v>#N/A</v>
      </c>
      <c r="L10" s="100" t="e">
        <f>INDEX(Erfassung6!AD:AD,MATCH($A10,Erfassung6!$BN:$BN,0))</f>
        <v>#N/A</v>
      </c>
      <c r="M10" s="101" t="e">
        <f t="shared" si="0"/>
        <v>#N/A</v>
      </c>
      <c r="N10" s="102" t="e">
        <f t="shared" si="0"/>
        <v>#N/A</v>
      </c>
      <c r="O10" s="76">
        <f>IFERROR(M10/INDEX(Erfassung6!BF:BF,MATCH(A10,Erfassung6!BN:BN,0)),0)</f>
        <v>0</v>
      </c>
      <c r="P10" s="122"/>
      <c r="Q10" s="51"/>
      <c r="AA10" s="213" t="e">
        <f>INDEX(TabGes5!M:M,MATCH(B10,TabGes5!B:B,0))+M10</f>
        <v>#N/A</v>
      </c>
      <c r="AB10" s="213" t="e">
        <f>INDEX(TabGes5!N:N,MATCH(B10,TabGes5!B:B,0))+N10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INDEX(Tabelle5!AE:AE,MATCH(B10,Tabelle5!B:B,0))+SUMIF(Erfassung6!BQ:BQ,B10,Erfassung6!BF:BF)</f>
        <v>#N/A</v>
      </c>
    </row>
    <row r="11" spans="1:31" ht="42" customHeight="1" thickBot="1" x14ac:dyDescent="0.25">
      <c r="A11" s="209">
        <v>5</v>
      </c>
      <c r="B11" s="121" t="e">
        <f>INDEX(Erfassung6!$S:$S,MATCH($A11,Erfassung6!$BN:$BN,0)-17)</f>
        <v>#N/A</v>
      </c>
      <c r="C11" s="99" t="e">
        <f>INDEX(Erfassung6!U:U,MATCH($A11,Erfassung6!$BN:$BN,0)-1)</f>
        <v>#N/A</v>
      </c>
      <c r="D11" s="100" t="e">
        <f>INDEX(Erfassung6!V:V,MATCH($A11,Erfassung6!$BN:$BN,0))</f>
        <v>#N/A</v>
      </c>
      <c r="E11" s="99" t="e">
        <f>INDEX(Erfassung6!W:W,MATCH($A11,Erfassung6!$BN:$BN,0)-1)</f>
        <v>#N/A</v>
      </c>
      <c r="F11" s="100" t="e">
        <f>INDEX(Erfassung6!X:X,MATCH($A11,Erfassung6!$BN:$BN,0))</f>
        <v>#N/A</v>
      </c>
      <c r="G11" s="99" t="e">
        <f>INDEX(Erfassung6!Y:Y,MATCH($A11,Erfassung6!$BN:$BN,0)-1)</f>
        <v>#N/A</v>
      </c>
      <c r="H11" s="100" t="e">
        <f>INDEX(Erfassung6!Z:Z,MATCH($A11,Erfassung6!$BN:$BN,0))</f>
        <v>#N/A</v>
      </c>
      <c r="I11" s="99" t="e">
        <f>INDEX(Erfassung6!AA:AA,MATCH($A11,Erfassung6!$BN:$BN,0)-1)</f>
        <v>#N/A</v>
      </c>
      <c r="J11" s="100" t="e">
        <f>INDEX(Erfassung6!AB:AB,MATCH($A11,Erfassung6!$BN:$BN,0))</f>
        <v>#N/A</v>
      </c>
      <c r="K11" s="99" t="e">
        <f>INDEX(Erfassung6!AC:AC,MATCH($A11,Erfassung6!$BN:$BN,0)-1)</f>
        <v>#N/A</v>
      </c>
      <c r="L11" s="100" t="e">
        <f>INDEX(Erfassung6!AD:AD,MATCH($A11,Erfassung6!$BN:$BN,0))</f>
        <v>#N/A</v>
      </c>
      <c r="M11" s="101" t="e">
        <f t="shared" si="0"/>
        <v>#N/A</v>
      </c>
      <c r="N11" s="102" t="e">
        <f t="shared" si="0"/>
        <v>#N/A</v>
      </c>
      <c r="O11" s="76">
        <f>IFERROR(M11/INDEX(Erfassung6!BF:BF,MATCH(A11,Erfassung6!BN:BN,0)),0)</f>
        <v>0</v>
      </c>
      <c r="P11" s="122"/>
      <c r="Q11" s="51"/>
      <c r="AA11" s="213" t="e">
        <f>INDEX(TabGes5!M:M,MATCH(B11,TabGes5!B:B,0))+M11</f>
        <v>#N/A</v>
      </c>
      <c r="AB11" s="213" t="e">
        <f>INDEX(TabGes5!N:N,MATCH(B11,TabGes5!B:B,0))+N11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INDEX(Tabelle5!AE:AE,MATCH(B11,Tabelle5!B:B,0))+SUMIF(Erfassung6!BQ:BQ,B11,Erfassung6!BF:BF)</f>
        <v>#N/A</v>
      </c>
    </row>
    <row r="12" spans="1:31" ht="42" customHeight="1" thickBot="1" x14ac:dyDescent="0.25">
      <c r="A12" s="209">
        <v>6</v>
      </c>
      <c r="B12" s="121" t="e">
        <f>INDEX(Erfassung6!$S:$S,MATCH($A12,Erfassung6!$BN:$BN,0)-17)</f>
        <v>#N/A</v>
      </c>
      <c r="C12" s="99" t="e">
        <f>INDEX(Erfassung6!U:U,MATCH($A12,Erfassung6!$BN:$BN,0)-1)</f>
        <v>#N/A</v>
      </c>
      <c r="D12" s="100" t="e">
        <f>INDEX(Erfassung6!V:V,MATCH($A12,Erfassung6!$BN:$BN,0))</f>
        <v>#N/A</v>
      </c>
      <c r="E12" s="99" t="e">
        <f>INDEX(Erfassung6!W:W,MATCH($A12,Erfassung6!$BN:$BN,0)-1)</f>
        <v>#N/A</v>
      </c>
      <c r="F12" s="100" t="e">
        <f>INDEX(Erfassung6!X:X,MATCH($A12,Erfassung6!$BN:$BN,0))</f>
        <v>#N/A</v>
      </c>
      <c r="G12" s="99" t="e">
        <f>INDEX(Erfassung6!Y:Y,MATCH($A12,Erfassung6!$BN:$BN,0)-1)</f>
        <v>#N/A</v>
      </c>
      <c r="H12" s="100" t="e">
        <f>INDEX(Erfassung6!Z:Z,MATCH($A12,Erfassung6!$BN:$BN,0))</f>
        <v>#N/A</v>
      </c>
      <c r="I12" s="99" t="e">
        <f>INDEX(Erfassung6!AA:AA,MATCH($A12,Erfassung6!$BN:$BN,0)-1)</f>
        <v>#N/A</v>
      </c>
      <c r="J12" s="100" t="e">
        <f>INDEX(Erfassung6!AB:AB,MATCH($A12,Erfassung6!$BN:$BN,0))</f>
        <v>#N/A</v>
      </c>
      <c r="K12" s="99" t="e">
        <f>INDEX(Erfassung6!AC:AC,MATCH($A12,Erfassung6!$BN:$BN,0)-1)</f>
        <v>#N/A</v>
      </c>
      <c r="L12" s="100" t="e">
        <f>INDEX(Erfassung6!AD:AD,MATCH($A12,Erfassung6!$BN:$BN,0))</f>
        <v>#N/A</v>
      </c>
      <c r="M12" s="101" t="e">
        <f t="shared" si="0"/>
        <v>#N/A</v>
      </c>
      <c r="N12" s="102" t="e">
        <f t="shared" si="0"/>
        <v>#N/A</v>
      </c>
      <c r="O12" s="76">
        <f>IFERROR(M12/INDEX(Erfassung6!BF:BF,MATCH(A12,Erfassung6!BN:BN,0)),0)</f>
        <v>0</v>
      </c>
      <c r="P12" s="122"/>
      <c r="Q12" s="51"/>
      <c r="AA12" s="213" t="e">
        <f>INDEX(TabGes5!M:M,MATCH(B12,TabGes5!B:B,0))+M12</f>
        <v>#N/A</v>
      </c>
      <c r="AB12" s="213" t="e">
        <f>INDEX(TabGes5!N:N,MATCH(B12,TabGes5!B:B,0))+N12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INDEX(Tabelle5!AE:AE,MATCH(B12,Tabelle5!B:B,0))+SUMIF(Erfassung6!BQ:BQ,B12,Erfassung6!BF:BF)</f>
        <v>#N/A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</row>
    <row r="16" spans="1:31" x14ac:dyDescent="0.2">
      <c r="C16" s="382"/>
      <c r="D16" s="382"/>
      <c r="E16" s="382"/>
      <c r="F16" s="382"/>
      <c r="G16" s="382"/>
      <c r="H16" s="382"/>
    </row>
    <row r="17" spans="2:16" x14ac:dyDescent="0.2">
      <c r="B17" s="106" t="s">
        <v>1817</v>
      </c>
      <c r="C17" t="str">
        <f>IFERROR(INDEX(Erfassung6!S:S,MATCH(1,Erfassung6!BR:BR,0)),"")</f>
        <v/>
      </c>
      <c r="H17" t="str">
        <f>INDEX(Erfassung6!BQ:BQ,MATCH(C17,Erfassung6!S:S,0))</f>
        <v>Castra Regina Regensburg 3</v>
      </c>
      <c r="N17" s="104">
        <f>IFERROR(ROUND(INDEX(Erfassung6!BP:BP,MATCH(1,Erfassung6!BR:BR,0)),0),"")</f>
        <v>0</v>
      </c>
    </row>
    <row r="18" spans="2:16" x14ac:dyDescent="0.2">
      <c r="B18" s="106"/>
      <c r="C18" t="str">
        <f>IF(N18="","",IFERROR(INDEX(Erfassung6!S:S,MATCH(2,Erfassung6!BR:BR,0)),""))</f>
        <v/>
      </c>
      <c r="H18" t="str">
        <f>IF(C18="","",INDEX(Erfassung6!BQ:BQ,MATCH(C18,Erfassung6!S:S,0)))</f>
        <v/>
      </c>
      <c r="N18" s="105" t="str">
        <f>IF(IFERROR(ROUND(INDEX(Erfassung6!BP:BP,MATCH(2,Erfassung6!BR:BR,0)),0),0)=0,"",IFERROR(ROUND(INDEX(Erfassung6!BP:BP,MATCH(2,Erfassung6!BR:BR,0)),0),0))</f>
        <v/>
      </c>
    </row>
    <row r="19" spans="2:16" x14ac:dyDescent="0.2">
      <c r="B19" s="106"/>
      <c r="C19" t="str">
        <f>IF(N19="","",IFERROR(INDEX(Erfassung6!S:S,MATCH(3,Erfassung6!BR:BR,0)),""))</f>
        <v/>
      </c>
      <c r="H19" t="str">
        <f>IF(C19="","",INDEX(Erfassung6!BQ:BQ,MATCH(C19,Erfassung6!S:S,0)))</f>
        <v/>
      </c>
      <c r="N19" s="105" t="str">
        <f>IF(IFERROR(ROUND(INDEX(Erfassung6!BP:BP,MATCH(3,Erfassung6!BR:BR,0)),0),0)=0,"",IFERROR(ROUND(INDEX(Erfassung6!BP:BP,MATCH(3,Erfassung6!BR:BR,0)),0),""))</f>
        <v/>
      </c>
    </row>
    <row r="20" spans="2:16" x14ac:dyDescent="0.2">
      <c r="B20" s="106" t="s">
        <v>1818</v>
      </c>
      <c r="C20" t="str">
        <f>IFERROR(INDEX(Erfassung6!S:S,MATCH(1,Erfassung6!BV:BV,0)),"")</f>
        <v/>
      </c>
      <c r="H20" t="str">
        <f>INDEX(Erfassung6!BQ:BQ,MATCH(C20,Erfassung6!S:S,0))</f>
        <v>Castra Regina Regensburg 3</v>
      </c>
      <c r="N20" s="387" t="str">
        <f>IFERROR(ROUND(INDEX(Erfassung6!BS:BS,MATCH(1,Erfassung6!BV:BV,0)),0),"")&amp;"  /  "&amp;ROUND(IFERROR(ROUND(INDEX(Erfassung6!BS:BS,MATCH(1,Erfassung6!BV:BV,0)),0),"")/5,2)</f>
        <v>0  /  0</v>
      </c>
      <c r="O20" s="387"/>
      <c r="P20" s="92"/>
    </row>
    <row r="21" spans="2:16" x14ac:dyDescent="0.2">
      <c r="C21" t="str">
        <f>IF(N21="","",IFERROR(INDEX(Erfassung6!S:S,MATCH(2,Erfassung6!BV:BV,0)),""))</f>
        <v/>
      </c>
      <c r="E21" s="6"/>
      <c r="H21" t="str">
        <f>IF(C21="","",INDEX(Erfassung6!BQ:BQ,MATCH(C21,Erfassung6!S:S,0)))</f>
        <v/>
      </c>
      <c r="N21" s="105" t="str">
        <f>IF(IFERROR(ROUND(INDEX(Erfassung6!BS:BS,MATCH(2,Erfassung6!BV:BV,0)),0),0)=0,"",IFERROR(ROUND(INDEX(Erfassung6!BS:BS,MATCH(2,Erfassung6!BV:BV,0)),0),0))</f>
        <v/>
      </c>
    </row>
    <row r="22" spans="2:16" x14ac:dyDescent="0.2">
      <c r="C22" t="str">
        <f>IF(N22="","",IFERROR(INDEX(Erfassung6!S:S,MATCH(3,Erfassung6!BV:BV,0)),""))</f>
        <v/>
      </c>
      <c r="E22" s="6"/>
      <c r="H22" t="str">
        <f>IF(C22="","",INDEX(Erfassung6!BQ:BQ,MATCH(C22,Erfassung6!S:S,0)))</f>
        <v/>
      </c>
      <c r="N22" s="105" t="str">
        <f>IF(IFERROR(ROUND(INDEX(Erfassung6!BS:BS,MATCH(3,Erfassung6!BV:BV,0)),0),0)=0,"",IFERROR(ROUND(INDEX(Erfassung6!BS:BS,MATCH(3,Erfassung6!BV:BV,0)),0),0))</f>
        <v/>
      </c>
    </row>
  </sheetData>
  <sheetProtection password="D19C" sheet="1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5:O15"/>
    <mergeCell ref="C16:H16"/>
    <mergeCell ref="N20:O20"/>
    <mergeCell ref="M5:N5"/>
    <mergeCell ref="O5:O6"/>
    <mergeCell ref="K5:L5"/>
  </mergeCells>
  <conditionalFormatting sqref="C7:L12">
    <cfRule type="top10" dxfId="3" priority="2" stopIfTrue="1" rank="1"/>
  </conditionalFormatting>
  <conditionalFormatting sqref="M7:M12">
    <cfRule type="top10" dxfId="2" priority="1" stopIfTrue="1" rank="1"/>
  </conditionalFormatting>
  <printOptions horizontalCentered="1" verticalCentered="1"/>
  <pageMargins left="0" right="0" top="0" bottom="0" header="0" footer="0"/>
  <pageSetup paperSize="9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35A9-638E-45D2-BE0F-2471E99E5337}">
  <sheetPr>
    <tabColor theme="8" tint="-0.249977111117893"/>
    <pageSetUpPr fitToPage="1"/>
  </sheetPr>
  <dimension ref="A1:R12"/>
  <sheetViews>
    <sheetView workbookViewId="0">
      <selection activeCell="O12" sqref="O12"/>
    </sheetView>
  </sheetViews>
  <sheetFormatPr baseColWidth="10" defaultRowHeight="12.75" x14ac:dyDescent="0.2"/>
  <cols>
    <col min="1" max="1" width="4.140625" customWidth="1"/>
    <col min="2" max="2" width="18.42578125" customWidth="1"/>
    <col min="3" max="14" width="8.7109375" customWidth="1"/>
    <col min="15" max="15" width="13.42578125" customWidth="1"/>
    <col min="16" max="16" width="9.42578125" customWidth="1"/>
    <col min="18" max="18" width="6.42578125" customWidth="1"/>
  </cols>
  <sheetData>
    <row r="1" spans="1:18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</row>
    <row r="2" spans="1:18" ht="28.5" customHeight="1" x14ac:dyDescent="0.2">
      <c r="A2" s="379" t="str">
        <f>"Saison "&amp;Spielorte!C18&amp;"     -     Spieltag "&amp;Erfassung6!AD2&amp;"     -     "&amp;TEXT(Erfassung6!AD1,"T. MMMM JJJJ")</f>
        <v>Saison 2024/2025     -     Spieltag 6     -     27.04.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</row>
    <row r="3" spans="1:18" ht="28.5" customHeight="1" x14ac:dyDescent="0.2">
      <c r="A3" s="378" t="s">
        <v>1863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8.5" customHeight="1" thickBot="1" x14ac:dyDescent="0.25">
      <c r="A4" s="210"/>
      <c r="B4" s="210"/>
      <c r="C4" s="87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88"/>
      <c r="Q4" s="162"/>
    </row>
    <row r="5" spans="1:18" x14ac:dyDescent="0.2">
      <c r="A5" s="380" t="s">
        <v>1803</v>
      </c>
      <c r="B5" s="383" t="s">
        <v>1804</v>
      </c>
      <c r="C5" s="385" t="s">
        <v>1807</v>
      </c>
      <c r="D5" s="386"/>
      <c r="E5" s="385" t="s">
        <v>1808</v>
      </c>
      <c r="F5" s="386"/>
      <c r="G5" s="385" t="s">
        <v>1809</v>
      </c>
      <c r="H5" s="386"/>
      <c r="I5" s="393" t="s">
        <v>1810</v>
      </c>
      <c r="J5" s="386"/>
      <c r="K5" s="393" t="s">
        <v>1811</v>
      </c>
      <c r="L5" s="386"/>
      <c r="M5" s="393" t="s">
        <v>1812</v>
      </c>
      <c r="N5" s="386"/>
      <c r="O5" s="385" t="s">
        <v>1791</v>
      </c>
      <c r="P5" s="386"/>
      <c r="Q5" s="389" t="s">
        <v>1805</v>
      </c>
    </row>
    <row r="6" spans="1:18" ht="13.5" thickBot="1" x14ac:dyDescent="0.25">
      <c r="A6" s="381"/>
      <c r="B6" s="384"/>
      <c r="C6" s="74" t="s">
        <v>1799</v>
      </c>
      <c r="D6" s="75" t="s">
        <v>1800</v>
      </c>
      <c r="E6" s="74" t="s">
        <v>1799</v>
      </c>
      <c r="F6" s="75" t="s">
        <v>1800</v>
      </c>
      <c r="G6" s="74" t="s">
        <v>1799</v>
      </c>
      <c r="H6" s="75" t="s">
        <v>1800</v>
      </c>
      <c r="I6" s="74" t="s">
        <v>1799</v>
      </c>
      <c r="J6" s="75" t="s">
        <v>1800</v>
      </c>
      <c r="K6" s="74" t="s">
        <v>1799</v>
      </c>
      <c r="L6" s="75" t="s">
        <v>1800</v>
      </c>
      <c r="M6" s="74" t="s">
        <v>1799</v>
      </c>
      <c r="N6" s="75" t="s">
        <v>1800</v>
      </c>
      <c r="O6" s="74" t="s">
        <v>1799</v>
      </c>
      <c r="P6" s="75" t="s">
        <v>1800</v>
      </c>
      <c r="Q6" s="390"/>
    </row>
    <row r="7" spans="1:18" ht="42" customHeight="1" thickBot="1" x14ac:dyDescent="0.25">
      <c r="A7" s="218">
        <v>1</v>
      </c>
      <c r="B7" s="121" t="e">
        <f>INDEX(Tabelle6!B:B,MATCH(A7,Tabelle6!AD:AD,0))</f>
        <v>#N/A</v>
      </c>
      <c r="C7" s="164" t="e">
        <f>INDEX(Tabelle1!M:M,MATCH(B7,Tabelle1!B:B,0))</f>
        <v>#N/A</v>
      </c>
      <c r="D7" s="165" t="e">
        <f>INDEX(Tabelle1!N:N,MATCH(B7,Tabelle1!B:B,0))</f>
        <v>#N/A</v>
      </c>
      <c r="E7" s="164" t="e">
        <f>INDEX(Tabelle2!M:M,MATCH(B7,Tabelle2!B:B,0))</f>
        <v>#N/A</v>
      </c>
      <c r="F7" s="165" t="e">
        <f>INDEX(Tabelle2!N:N,MATCH(B7,Tabelle2!B:B,0))</f>
        <v>#N/A</v>
      </c>
      <c r="G7" s="164" t="e">
        <f>INDEX(Tabelle3!M:M,MATCH(B7,Tabelle3!B:B,0))</f>
        <v>#N/A</v>
      </c>
      <c r="H7" s="166" t="e">
        <f>INDEX(Tabelle3!N:N,MATCH(B7,Tabelle3!B:B,0))</f>
        <v>#N/A</v>
      </c>
      <c r="I7" s="164" t="e">
        <f>INDEX(Tabelle4!M:M,MATCH(B7,Tabelle4!B:B,0))</f>
        <v>#N/A</v>
      </c>
      <c r="J7" s="166" t="e">
        <f>INDEX(Tabelle4!N:N,MATCH(B7,Tabelle4!B:B,0))</f>
        <v>#N/A</v>
      </c>
      <c r="K7" s="164" t="e">
        <f>INDEX(Tabelle5!M:M,MATCH(B7,Tabelle5!B:B,0))</f>
        <v>#N/A</v>
      </c>
      <c r="L7" s="166" t="e">
        <f>INDEX(Tabelle5!N:N,MATCH(B7,Tabelle5!B:B,0))</f>
        <v>#N/A</v>
      </c>
      <c r="M7" s="164" t="e">
        <f>INDEX(Tabelle6!M:M,MATCH(B7,Tabelle6!B:B,0))</f>
        <v>#N/A</v>
      </c>
      <c r="N7" s="167" t="e">
        <f>INDEX(Tabelle6!N:N,MATCH(B7,Tabelle6!B:B,0))</f>
        <v>#N/A</v>
      </c>
      <c r="O7" s="219" t="e">
        <f t="shared" ref="O7:P12" si="0">SUM(C7+E7+G7+I7+K7+M7)</f>
        <v>#N/A</v>
      </c>
      <c r="P7" s="220" t="e">
        <f t="shared" si="0"/>
        <v>#N/A</v>
      </c>
      <c r="Q7" s="221" t="e">
        <f>O7/INDEX(Tabelle6!$AE:$AE,MATCH($B7,Tabelle6!$B:$B,0))</f>
        <v>#N/A</v>
      </c>
      <c r="R7" s="81"/>
    </row>
    <row r="8" spans="1:18" ht="42" customHeight="1" thickBot="1" x14ac:dyDescent="0.25">
      <c r="A8" s="218">
        <v>2</v>
      </c>
      <c r="B8" s="121" t="e">
        <f>INDEX(Tabelle6!B:B,MATCH(A8,Tabelle6!AD:AD,0))</f>
        <v>#N/A</v>
      </c>
      <c r="C8" s="164" t="e">
        <f>INDEX(Tabelle1!M:M,MATCH(B8,Tabelle1!B:B,0))</f>
        <v>#N/A</v>
      </c>
      <c r="D8" s="165" t="e">
        <f>INDEX(Tabelle1!N:N,MATCH(B8,Tabelle1!B:B,0))</f>
        <v>#N/A</v>
      </c>
      <c r="E8" s="164" t="e">
        <f>INDEX(Tabelle2!M:M,MATCH(B8,Tabelle2!B:B,0))</f>
        <v>#N/A</v>
      </c>
      <c r="F8" s="165" t="e">
        <f>INDEX(Tabelle2!N:N,MATCH(B8,Tabelle2!B:B,0))</f>
        <v>#N/A</v>
      </c>
      <c r="G8" s="164" t="e">
        <f>INDEX(Tabelle3!M:M,MATCH(B8,Tabelle3!B:B,0))</f>
        <v>#N/A</v>
      </c>
      <c r="H8" s="166" t="e">
        <f>INDEX(Tabelle3!N:N,MATCH(B8,Tabelle3!B:B,0))</f>
        <v>#N/A</v>
      </c>
      <c r="I8" s="164" t="e">
        <f>INDEX(Tabelle4!M:M,MATCH(B8,Tabelle4!B:B,0))</f>
        <v>#N/A</v>
      </c>
      <c r="J8" s="166" t="e">
        <f>INDEX(Tabelle4!N:N,MATCH(B8,Tabelle4!B:B,0))</f>
        <v>#N/A</v>
      </c>
      <c r="K8" s="164" t="e">
        <f>INDEX(Tabelle5!M:M,MATCH(B8,Tabelle5!B:B,0))</f>
        <v>#N/A</v>
      </c>
      <c r="L8" s="166" t="e">
        <f>INDEX(Tabelle5!N:N,MATCH(B8,Tabelle5!B:B,0))</f>
        <v>#N/A</v>
      </c>
      <c r="M8" s="164" t="e">
        <f>INDEX(Tabelle6!M:M,MATCH(B8,Tabelle6!B:B,0))</f>
        <v>#N/A</v>
      </c>
      <c r="N8" s="167" t="e">
        <f>INDEX(Tabelle6!N:N,MATCH(B8,Tabelle6!B:B,0))</f>
        <v>#N/A</v>
      </c>
      <c r="O8" s="219" t="e">
        <f t="shared" si="0"/>
        <v>#N/A</v>
      </c>
      <c r="P8" s="220" t="e">
        <f t="shared" si="0"/>
        <v>#N/A</v>
      </c>
      <c r="Q8" s="221" t="e">
        <f>O8/INDEX(Tabelle6!$AE:$AE,MATCH($B8,Tabelle6!$B:$B,0))</f>
        <v>#N/A</v>
      </c>
      <c r="R8" s="81"/>
    </row>
    <row r="9" spans="1:18" ht="42" customHeight="1" thickBot="1" x14ac:dyDescent="0.25">
      <c r="A9" s="218">
        <v>3</v>
      </c>
      <c r="B9" s="121" t="e">
        <f>INDEX(Tabelle6!B:B,MATCH(A9,Tabelle6!AD:AD,0))</f>
        <v>#N/A</v>
      </c>
      <c r="C9" s="164" t="e">
        <f>INDEX(Tabelle1!M:M,MATCH(B9,Tabelle1!B:B,0))</f>
        <v>#N/A</v>
      </c>
      <c r="D9" s="165" t="e">
        <f>INDEX(Tabelle1!N:N,MATCH(B9,Tabelle1!B:B,0))</f>
        <v>#N/A</v>
      </c>
      <c r="E9" s="164" t="e">
        <f>INDEX(Tabelle2!M:M,MATCH(B9,Tabelle2!B:B,0))</f>
        <v>#N/A</v>
      </c>
      <c r="F9" s="165" t="e">
        <f>INDEX(Tabelle2!N:N,MATCH(B9,Tabelle2!B:B,0))</f>
        <v>#N/A</v>
      </c>
      <c r="G9" s="164" t="e">
        <f>INDEX(Tabelle3!M:M,MATCH(B9,Tabelle3!B:B,0))</f>
        <v>#N/A</v>
      </c>
      <c r="H9" s="166" t="e">
        <f>INDEX(Tabelle3!N:N,MATCH(B9,Tabelle3!B:B,0))</f>
        <v>#N/A</v>
      </c>
      <c r="I9" s="164" t="e">
        <f>INDEX(Tabelle4!M:M,MATCH(B9,Tabelle4!B:B,0))</f>
        <v>#N/A</v>
      </c>
      <c r="J9" s="166" t="e">
        <f>INDEX(Tabelle4!N:N,MATCH(B9,Tabelle4!B:B,0))</f>
        <v>#N/A</v>
      </c>
      <c r="K9" s="164" t="e">
        <f>INDEX(Tabelle5!M:M,MATCH(B9,Tabelle5!B:B,0))</f>
        <v>#N/A</v>
      </c>
      <c r="L9" s="166" t="e">
        <f>INDEX(Tabelle5!N:N,MATCH(B9,Tabelle5!B:B,0))</f>
        <v>#N/A</v>
      </c>
      <c r="M9" s="164" t="e">
        <f>INDEX(Tabelle6!M:M,MATCH(B9,Tabelle6!B:B,0))</f>
        <v>#N/A</v>
      </c>
      <c r="N9" s="167" t="e">
        <f>INDEX(Tabelle6!N:N,MATCH(B9,Tabelle6!B:B,0))</f>
        <v>#N/A</v>
      </c>
      <c r="O9" s="219" t="e">
        <f t="shared" si="0"/>
        <v>#N/A</v>
      </c>
      <c r="P9" s="220" t="e">
        <f t="shared" si="0"/>
        <v>#N/A</v>
      </c>
      <c r="Q9" s="221" t="e">
        <f>O9/INDEX(Tabelle6!$AE:$AE,MATCH($B9,Tabelle6!$B:$B,0))</f>
        <v>#N/A</v>
      </c>
      <c r="R9" s="81"/>
    </row>
    <row r="10" spans="1:18" ht="42" customHeight="1" thickBot="1" x14ac:dyDescent="0.25">
      <c r="A10" s="218">
        <v>4</v>
      </c>
      <c r="B10" s="121" t="e">
        <f>INDEX(Tabelle6!B:B,MATCH(A10,Tabelle6!AD:AD,0))</f>
        <v>#N/A</v>
      </c>
      <c r="C10" s="164" t="e">
        <f>INDEX(Tabelle1!M:M,MATCH(B10,Tabelle1!B:B,0))</f>
        <v>#N/A</v>
      </c>
      <c r="D10" s="165" t="e">
        <f>INDEX(Tabelle1!N:N,MATCH(B10,Tabelle1!B:B,0))</f>
        <v>#N/A</v>
      </c>
      <c r="E10" s="164" t="e">
        <f>INDEX(Tabelle2!M:M,MATCH(B10,Tabelle2!B:B,0))</f>
        <v>#N/A</v>
      </c>
      <c r="F10" s="165" t="e">
        <f>INDEX(Tabelle2!N:N,MATCH(B10,Tabelle2!B:B,0))</f>
        <v>#N/A</v>
      </c>
      <c r="G10" s="164" t="e">
        <f>INDEX(Tabelle3!M:M,MATCH(B10,Tabelle3!B:B,0))</f>
        <v>#N/A</v>
      </c>
      <c r="H10" s="166" t="e">
        <f>INDEX(Tabelle3!N:N,MATCH(B10,Tabelle3!B:B,0))</f>
        <v>#N/A</v>
      </c>
      <c r="I10" s="164" t="e">
        <f>INDEX(Tabelle4!M:M,MATCH(B10,Tabelle4!B:B,0))</f>
        <v>#N/A</v>
      </c>
      <c r="J10" s="166" t="e">
        <f>INDEX(Tabelle4!N:N,MATCH(B10,Tabelle4!B:B,0))</f>
        <v>#N/A</v>
      </c>
      <c r="K10" s="164" t="e">
        <f>INDEX(Tabelle5!M:M,MATCH(B10,Tabelle5!B:B,0))</f>
        <v>#N/A</v>
      </c>
      <c r="L10" s="166" t="e">
        <f>INDEX(Tabelle5!N:N,MATCH(B10,Tabelle5!B:B,0))</f>
        <v>#N/A</v>
      </c>
      <c r="M10" s="164" t="e">
        <f>INDEX(Tabelle6!M:M,MATCH(B10,Tabelle6!B:B,0))</f>
        <v>#N/A</v>
      </c>
      <c r="N10" s="167" t="e">
        <f>INDEX(Tabelle6!N:N,MATCH(B10,Tabelle6!B:B,0))</f>
        <v>#N/A</v>
      </c>
      <c r="O10" s="219" t="e">
        <f t="shared" si="0"/>
        <v>#N/A</v>
      </c>
      <c r="P10" s="220" t="e">
        <f t="shared" si="0"/>
        <v>#N/A</v>
      </c>
      <c r="Q10" s="221" t="e">
        <f>O10/INDEX(Tabelle6!$AE:$AE,MATCH($B10,Tabelle6!$B:$B,0))</f>
        <v>#N/A</v>
      </c>
      <c r="R10" s="81"/>
    </row>
    <row r="11" spans="1:18" ht="42" customHeight="1" thickBot="1" x14ac:dyDescent="0.25">
      <c r="A11" s="218">
        <v>5</v>
      </c>
      <c r="B11" s="121" t="e">
        <f>INDEX(Tabelle6!B:B,MATCH(A11,Tabelle6!AD:AD,0))</f>
        <v>#N/A</v>
      </c>
      <c r="C11" s="164" t="e">
        <f>INDEX(Tabelle1!M:M,MATCH(B11,Tabelle1!B:B,0))</f>
        <v>#N/A</v>
      </c>
      <c r="D11" s="165" t="e">
        <f>INDEX(Tabelle1!N:N,MATCH(B11,Tabelle1!B:B,0))</f>
        <v>#N/A</v>
      </c>
      <c r="E11" s="164" t="e">
        <f>INDEX(Tabelle2!M:M,MATCH(B11,Tabelle2!B:B,0))</f>
        <v>#N/A</v>
      </c>
      <c r="F11" s="165" t="e">
        <f>INDEX(Tabelle2!N:N,MATCH(B11,Tabelle2!B:B,0))</f>
        <v>#N/A</v>
      </c>
      <c r="G11" s="164" t="e">
        <f>INDEX(Tabelle3!M:M,MATCH(B11,Tabelle3!B:B,0))</f>
        <v>#N/A</v>
      </c>
      <c r="H11" s="166" t="e">
        <f>INDEX(Tabelle3!N:N,MATCH(B11,Tabelle3!B:B,0))</f>
        <v>#N/A</v>
      </c>
      <c r="I11" s="164" t="e">
        <f>INDEX(Tabelle4!M:M,MATCH(B11,Tabelle4!B:B,0))</f>
        <v>#N/A</v>
      </c>
      <c r="J11" s="166" t="e">
        <f>INDEX(Tabelle4!N:N,MATCH(B11,Tabelle4!B:B,0))</f>
        <v>#N/A</v>
      </c>
      <c r="K11" s="164" t="e">
        <f>INDEX(Tabelle5!M:M,MATCH(B11,Tabelle5!B:B,0))</f>
        <v>#N/A</v>
      </c>
      <c r="L11" s="166" t="e">
        <f>INDEX(Tabelle5!N:N,MATCH(B11,Tabelle5!B:B,0))</f>
        <v>#N/A</v>
      </c>
      <c r="M11" s="164" t="e">
        <f>INDEX(Tabelle6!M:M,MATCH(B11,Tabelle6!B:B,0))</f>
        <v>#N/A</v>
      </c>
      <c r="N11" s="167" t="e">
        <f>INDEX(Tabelle6!N:N,MATCH(B11,Tabelle6!B:B,0))</f>
        <v>#N/A</v>
      </c>
      <c r="O11" s="219" t="e">
        <f t="shared" si="0"/>
        <v>#N/A</v>
      </c>
      <c r="P11" s="220" t="e">
        <f t="shared" si="0"/>
        <v>#N/A</v>
      </c>
      <c r="Q11" s="221" t="e">
        <f>O11/INDEX(Tabelle6!$AE:$AE,MATCH($B11,Tabelle6!$B:$B,0))</f>
        <v>#N/A</v>
      </c>
      <c r="R11" s="81"/>
    </row>
    <row r="12" spans="1:18" ht="42" customHeight="1" thickBot="1" x14ac:dyDescent="0.25">
      <c r="A12" s="218">
        <v>6</v>
      </c>
      <c r="B12" s="121" t="e">
        <f>INDEX(Tabelle6!B:B,MATCH(A12,Tabelle6!AD:AD,0))</f>
        <v>#N/A</v>
      </c>
      <c r="C12" s="164" t="e">
        <f>INDEX(Tabelle1!M:M,MATCH(B12,Tabelle1!B:B,0))</f>
        <v>#N/A</v>
      </c>
      <c r="D12" s="165" t="e">
        <f>INDEX(Tabelle1!N:N,MATCH(B12,Tabelle1!B:B,0))</f>
        <v>#N/A</v>
      </c>
      <c r="E12" s="164" t="e">
        <f>INDEX(Tabelle2!M:M,MATCH(B12,Tabelle2!B:B,0))</f>
        <v>#N/A</v>
      </c>
      <c r="F12" s="165" t="e">
        <f>INDEX(Tabelle2!N:N,MATCH(B12,Tabelle2!B:B,0))</f>
        <v>#N/A</v>
      </c>
      <c r="G12" s="164" t="e">
        <f>INDEX(Tabelle3!M:M,MATCH(B12,Tabelle3!B:B,0))</f>
        <v>#N/A</v>
      </c>
      <c r="H12" s="166" t="e">
        <f>INDEX(Tabelle3!N:N,MATCH(B12,Tabelle3!B:B,0))</f>
        <v>#N/A</v>
      </c>
      <c r="I12" s="164" t="e">
        <f>INDEX(Tabelle4!M:M,MATCH(B12,Tabelle4!B:B,0))</f>
        <v>#N/A</v>
      </c>
      <c r="J12" s="166" t="e">
        <f>INDEX(Tabelle4!N:N,MATCH(B12,Tabelle4!B:B,0))</f>
        <v>#N/A</v>
      </c>
      <c r="K12" s="164" t="e">
        <f>INDEX(Tabelle5!M:M,MATCH(B12,Tabelle5!B:B,0))</f>
        <v>#N/A</v>
      </c>
      <c r="L12" s="166" t="e">
        <f>INDEX(Tabelle5!N:N,MATCH(B12,Tabelle5!B:B,0))</f>
        <v>#N/A</v>
      </c>
      <c r="M12" s="164" t="e">
        <f>INDEX(Tabelle6!M:M,MATCH(B12,Tabelle6!B:B,0))</f>
        <v>#N/A</v>
      </c>
      <c r="N12" s="167" t="e">
        <f>INDEX(Tabelle6!N:N,MATCH(B12,Tabelle6!B:B,0))</f>
        <v>#N/A</v>
      </c>
      <c r="O12" s="219" t="e">
        <f t="shared" si="0"/>
        <v>#N/A</v>
      </c>
      <c r="P12" s="220" t="e">
        <f t="shared" si="0"/>
        <v>#N/A</v>
      </c>
      <c r="Q12" s="221">
        <f>IFERROR(O12/INDEX(Tabelle6!$AE:$AE,MATCH($B12,Tabelle6!$B:$B,0)),0)</f>
        <v>0</v>
      </c>
      <c r="R12" s="81"/>
    </row>
  </sheetData>
  <sheetProtection password="D19C" sheet="1"/>
  <mergeCells count="13"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  <mergeCell ref="I5:J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 r:id="rId1"/>
  <headerFooter>
    <oddHeader>&amp;R&amp;G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8F28-0596-4277-85C1-56E53F493387}">
  <sheetPr>
    <tabColor rgb="FF7030A0"/>
    <pageSetUpPr fitToPage="1"/>
  </sheetPr>
  <dimension ref="A1:P104"/>
  <sheetViews>
    <sheetView view="pageBreakPreview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6</v>
      </c>
      <c r="D2" s="114" t="s">
        <v>1821</v>
      </c>
      <c r="E2" s="115"/>
      <c r="F2" s="116"/>
      <c r="L2" s="108">
        <f>INDEX(Starter!A:A,ROW()-1)</f>
        <v>7136</v>
      </c>
      <c r="M2" s="108">
        <f>SUMIF(Erfassung6!BD:BD,L2,Erfassung6!BS:BS)</f>
        <v>0</v>
      </c>
      <c r="N2" s="108">
        <f>SUMIF(Erfassung6!BD:BD,L2,Erfassung6!BG:BG)</f>
        <v>0</v>
      </c>
      <c r="O2" s="108">
        <f t="shared" ref="O2:O65" si="0">IF(N2=0,0,M2/N2-ROW()/1000000000)</f>
        <v>0</v>
      </c>
      <c r="P2" s="108">
        <f t="shared" ref="P2:P65" si="1">RANK(O2,O:O)</f>
        <v>1</v>
      </c>
    </row>
    <row r="3" spans="1:16" x14ac:dyDescent="0.2">
      <c r="L3" s="108">
        <f>INDEX(Starter!A:A,ROW()-1)</f>
        <v>7123</v>
      </c>
      <c r="M3" s="108">
        <f>SUMIF(Erfassung6!BD:BD,L3,Erfassung6!BS:BS)</f>
        <v>0</v>
      </c>
      <c r="N3" s="108">
        <f>SUMIF(Erfassung6!BD:BD,L3,Erfassung6!BG:BG)</f>
        <v>0</v>
      </c>
      <c r="O3" s="108">
        <f t="shared" si="0"/>
        <v>0</v>
      </c>
      <c r="P3" s="108">
        <f t="shared" si="1"/>
        <v>1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SUMIF(Erfassung6!BD:BD,L4,Erfassung6!BS:BS)</f>
        <v>0</v>
      </c>
      <c r="N4" s="108">
        <f>SUMIF(Erfassung6!BD:BD,L4,Erfassung6!BG:BG)</f>
        <v>0</v>
      </c>
      <c r="O4" s="108">
        <f t="shared" si="0"/>
        <v>0</v>
      </c>
      <c r="P4" s="108">
        <f t="shared" si="1"/>
        <v>1</v>
      </c>
    </row>
    <row r="5" spans="1:16" x14ac:dyDescent="0.2">
      <c r="A5" s="108">
        <v>1</v>
      </c>
      <c r="B5" s="108">
        <f t="shared" ref="B5:B68" si="2">IFERROR(INDEX(L:L,MATCH(A5,P:P,0)),"")</f>
        <v>7136</v>
      </c>
      <c r="C5" s="108" t="str">
        <f>IFERROR(INDEX(Starter!B:B,MATCH(B5,Starter!A:A,0)),"")</f>
        <v>Rühr, Wilfried</v>
      </c>
      <c r="D5" s="108" t="str">
        <f>IFERROR(INDEX(Starter!C:C,MATCH(B5,Starter!A:A,0)),"")</f>
        <v>Kings Club Bayreuth</v>
      </c>
      <c r="E5" s="117">
        <f t="shared" ref="E5:E68" si="3">IFERROR(INDEX(M:M,MATCH(A5,P:P,0)),"")</f>
        <v>0</v>
      </c>
      <c r="F5" s="108">
        <f t="shared" ref="F5:F68" si="4">IFERROR(INDEX(N:N,MATCH(A5,P:P,0)),"")</f>
        <v>0</v>
      </c>
      <c r="G5" s="112">
        <f t="shared" ref="G5:G68" si="5">IFERROR(INDEX(O:O,MATCH(A5,P:P,0)),"")</f>
        <v>0</v>
      </c>
      <c r="L5" s="108">
        <f>INDEX(Starter!A:A,ROW()-1)</f>
        <v>7128</v>
      </c>
      <c r="M5" s="108">
        <f>SUMIF(Erfassung6!BD:BD,L5,Erfassung6!BS:BS)</f>
        <v>0</v>
      </c>
      <c r="N5" s="108">
        <f>SUMIF(Erfassung6!BD:BD,L5,Erfassung6!BG:BG)</f>
        <v>0</v>
      </c>
      <c r="O5" s="108">
        <f t="shared" si="0"/>
        <v>0</v>
      </c>
      <c r="P5" s="108">
        <f t="shared" si="1"/>
        <v>1</v>
      </c>
    </row>
    <row r="6" spans="1:16" x14ac:dyDescent="0.2">
      <c r="A6" s="108" t="str">
        <f t="shared" ref="A6:A69" si="6">IFERROR(IF(A5+1&gt;MAX(P:P)-1,"",A5+1),"")</f>
        <v/>
      </c>
      <c r="B6" s="108" t="str">
        <f t="shared" si="2"/>
        <v/>
      </c>
      <c r="C6" s="108" t="str">
        <f>IFERROR(INDEX(Starter!B:B,MATCH(B6,Starter!A:A,0)),"")</f>
        <v/>
      </c>
      <c r="D6" s="108" t="str">
        <f>IFERROR(INDEX(Starter!C:C,MATCH(B6,Starter!A:A,0)),"")</f>
        <v/>
      </c>
      <c r="E6" s="117" t="str">
        <f t="shared" si="3"/>
        <v/>
      </c>
      <c r="F6" s="108" t="str">
        <f t="shared" si="4"/>
        <v/>
      </c>
      <c r="G6" s="112" t="str">
        <f t="shared" si="5"/>
        <v/>
      </c>
      <c r="L6" s="108">
        <f>INDEX(Starter!A:A,ROW()-1)</f>
        <v>38507</v>
      </c>
      <c r="M6" s="108">
        <f>SUMIF(Erfassung6!BD:BD,L6,Erfassung6!BS:BS)</f>
        <v>0</v>
      </c>
      <c r="N6" s="108">
        <f>SUMIF(Erfassung6!BD:BD,L6,Erfassung6!BG:BG)</f>
        <v>0</v>
      </c>
      <c r="O6" s="108">
        <f t="shared" si="0"/>
        <v>0</v>
      </c>
      <c r="P6" s="108">
        <f t="shared" si="1"/>
        <v>1</v>
      </c>
    </row>
    <row r="7" spans="1:16" x14ac:dyDescent="0.2">
      <c r="A7" s="108" t="str">
        <f t="shared" si="6"/>
        <v/>
      </c>
      <c r="B7" s="108" t="str">
        <f t="shared" si="2"/>
        <v/>
      </c>
      <c r="C7" s="108" t="str">
        <f>IFERROR(INDEX(Starter!B:B,MATCH(B7,Starter!A:A,0)),"")</f>
        <v/>
      </c>
      <c r="D7" s="108" t="str">
        <f>IFERROR(INDEX(Starter!C:C,MATCH(B7,Starter!A:A,0)),"")</f>
        <v/>
      </c>
      <c r="E7" s="117" t="str">
        <f t="shared" si="3"/>
        <v/>
      </c>
      <c r="F7" s="108" t="str">
        <f t="shared" si="4"/>
        <v/>
      </c>
      <c r="G7" s="112" t="str">
        <f t="shared" si="5"/>
        <v/>
      </c>
      <c r="L7" s="108">
        <f>INDEX(Starter!A:A,ROW()-1)</f>
        <v>38115</v>
      </c>
      <c r="M7" s="108">
        <f>SUMIF(Erfassung6!BD:BD,L7,Erfassung6!BS:BS)</f>
        <v>0</v>
      </c>
      <c r="N7" s="108">
        <f>SUMIF(Erfassung6!BD:BD,L7,Erfassung6!BG:BG)</f>
        <v>0</v>
      </c>
      <c r="O7" s="108">
        <f t="shared" si="0"/>
        <v>0</v>
      </c>
      <c r="P7" s="108">
        <f t="shared" si="1"/>
        <v>1</v>
      </c>
    </row>
    <row r="8" spans="1:16" x14ac:dyDescent="0.2">
      <c r="A8" s="108" t="str">
        <f t="shared" si="6"/>
        <v/>
      </c>
      <c r="B8" s="108" t="str">
        <f t="shared" si="2"/>
        <v/>
      </c>
      <c r="C8" s="108" t="str">
        <f>IFERROR(INDEX(Starter!B:B,MATCH(B8,Starter!A:A,0)),"")</f>
        <v/>
      </c>
      <c r="D8" s="108" t="str">
        <f>IFERROR(INDEX(Starter!C:C,MATCH(B8,Starter!A:A,0)),"")</f>
        <v/>
      </c>
      <c r="E8" s="117" t="str">
        <f t="shared" si="3"/>
        <v/>
      </c>
      <c r="F8" s="108" t="str">
        <f t="shared" si="4"/>
        <v/>
      </c>
      <c r="G8" s="112" t="str">
        <f t="shared" si="5"/>
        <v/>
      </c>
      <c r="L8" s="108">
        <f>INDEX(Starter!A:A,ROW()-1)</f>
        <v>7586</v>
      </c>
      <c r="M8" s="108">
        <f>SUMIF(Erfassung6!BD:BD,L8,Erfassung6!BS:BS)</f>
        <v>0</v>
      </c>
      <c r="N8" s="108">
        <f>SUMIF(Erfassung6!BD:BD,L8,Erfassung6!BG:BG)</f>
        <v>0</v>
      </c>
      <c r="O8" s="108">
        <f t="shared" si="0"/>
        <v>0</v>
      </c>
      <c r="P8" s="108">
        <f t="shared" si="1"/>
        <v>1</v>
      </c>
    </row>
    <row r="9" spans="1:16" x14ac:dyDescent="0.2">
      <c r="A9" s="108" t="str">
        <f t="shared" si="6"/>
        <v/>
      </c>
      <c r="B9" s="108" t="str">
        <f t="shared" si="2"/>
        <v/>
      </c>
      <c r="C9" s="108" t="str">
        <f>IFERROR(INDEX(Starter!B:B,MATCH(B9,Starter!A:A,0)),"")</f>
        <v/>
      </c>
      <c r="D9" s="108" t="str">
        <f>IFERROR(INDEX(Starter!C:C,MATCH(B9,Starter!A:A,0)),"")</f>
        <v/>
      </c>
      <c r="E9" s="117" t="str">
        <f t="shared" si="3"/>
        <v/>
      </c>
      <c r="F9" s="108" t="str">
        <f t="shared" si="4"/>
        <v/>
      </c>
      <c r="G9" s="112" t="str">
        <f t="shared" si="5"/>
        <v/>
      </c>
      <c r="L9" s="108">
        <f>INDEX(Starter!A:A,ROW()-1)</f>
        <v>9936</v>
      </c>
      <c r="M9" s="108">
        <f>SUMIF(Erfassung6!BD:BD,L9,Erfassung6!BS:BS)</f>
        <v>0</v>
      </c>
      <c r="N9" s="108">
        <f>SUMIF(Erfassung6!BD:BD,L9,Erfassung6!BG:BG)</f>
        <v>0</v>
      </c>
      <c r="O9" s="108">
        <f t="shared" si="0"/>
        <v>0</v>
      </c>
      <c r="P9" s="108">
        <f t="shared" si="1"/>
        <v>1</v>
      </c>
    </row>
    <row r="10" spans="1:16" x14ac:dyDescent="0.2">
      <c r="A10" s="108" t="str">
        <f t="shared" si="6"/>
        <v/>
      </c>
      <c r="B10" s="108" t="str">
        <f t="shared" si="2"/>
        <v/>
      </c>
      <c r="C10" s="108" t="str">
        <f>IFERROR(INDEX(Starter!B:B,MATCH(B10,Starter!A:A,0)),"")</f>
        <v/>
      </c>
      <c r="D10" s="108" t="str">
        <f>IFERROR(INDEX(Starter!C:C,MATCH(B10,Starter!A:A,0)),"")</f>
        <v/>
      </c>
      <c r="E10" s="117" t="str">
        <f t="shared" si="3"/>
        <v/>
      </c>
      <c r="F10" s="108" t="str">
        <f t="shared" si="4"/>
        <v/>
      </c>
      <c r="G10" s="112" t="str">
        <f t="shared" si="5"/>
        <v/>
      </c>
      <c r="L10" s="108">
        <f>INDEX(Starter!A:A,ROW()-1)</f>
        <v>7135</v>
      </c>
      <c r="M10" s="108">
        <f>SUMIF(Erfassung6!BD:BD,L10,Erfassung6!BS:BS)</f>
        <v>0</v>
      </c>
      <c r="N10" s="108">
        <f>SUMIF(Erfassung6!BD:BD,L10,Erfassung6!BG:BG)</f>
        <v>0</v>
      </c>
      <c r="O10" s="108">
        <f t="shared" si="0"/>
        <v>0</v>
      </c>
      <c r="P10" s="108">
        <f t="shared" si="1"/>
        <v>1</v>
      </c>
    </row>
    <row r="11" spans="1:16" x14ac:dyDescent="0.2">
      <c r="A11" s="108" t="str">
        <f t="shared" si="6"/>
        <v/>
      </c>
      <c r="B11" s="108" t="str">
        <f t="shared" si="2"/>
        <v/>
      </c>
      <c r="C11" s="108" t="str">
        <f>IFERROR(INDEX(Starter!B:B,MATCH(B11,Starter!A:A,0)),"")</f>
        <v/>
      </c>
      <c r="D11" s="108" t="str">
        <f>IFERROR(INDEX(Starter!C:C,MATCH(B11,Starter!A:A,0)),"")</f>
        <v/>
      </c>
      <c r="E11" s="117" t="str">
        <f t="shared" si="3"/>
        <v/>
      </c>
      <c r="F11" s="108" t="str">
        <f t="shared" si="4"/>
        <v/>
      </c>
      <c r="G11" s="112" t="str">
        <f t="shared" si="5"/>
        <v/>
      </c>
      <c r="L11" s="108">
        <f>INDEX(Starter!A:A,ROW()-1)</f>
        <v>38367</v>
      </c>
      <c r="M11" s="108">
        <f>SUMIF(Erfassung6!BD:BD,L11,Erfassung6!BS:BS)</f>
        <v>0</v>
      </c>
      <c r="N11" s="108">
        <f>SUMIF(Erfassung6!BD:BD,L11,Erfassung6!BG:BG)</f>
        <v>0</v>
      </c>
      <c r="O11" s="108">
        <f t="shared" si="0"/>
        <v>0</v>
      </c>
      <c r="P11" s="108">
        <f t="shared" si="1"/>
        <v>1</v>
      </c>
    </row>
    <row r="12" spans="1:16" x14ac:dyDescent="0.2">
      <c r="A12" s="108" t="str">
        <f t="shared" si="6"/>
        <v/>
      </c>
      <c r="B12" s="108" t="str">
        <f t="shared" si="2"/>
        <v/>
      </c>
      <c r="C12" s="108" t="str">
        <f>IFERROR(INDEX(Starter!B:B,MATCH(B12,Starter!A:A,0)),"")</f>
        <v/>
      </c>
      <c r="D12" s="108" t="str">
        <f>IFERROR(INDEX(Starter!C:C,MATCH(B12,Starter!A:A,0)),"")</f>
        <v/>
      </c>
      <c r="E12" s="117" t="str">
        <f t="shared" si="3"/>
        <v/>
      </c>
      <c r="F12" s="108" t="str">
        <f t="shared" si="4"/>
        <v/>
      </c>
      <c r="G12" s="112" t="str">
        <f t="shared" si="5"/>
        <v/>
      </c>
      <c r="L12" s="108">
        <f>INDEX(Starter!A:A,ROW()-1)</f>
        <v>38152</v>
      </c>
      <c r="M12" s="108">
        <f>SUMIF(Erfassung6!BD:BD,L12,Erfassung6!BS:BS)</f>
        <v>0</v>
      </c>
      <c r="N12" s="108">
        <f>SUMIF(Erfassung6!BD:BD,L12,Erfassung6!BG:BG)</f>
        <v>0</v>
      </c>
      <c r="O12" s="108">
        <f t="shared" si="0"/>
        <v>0</v>
      </c>
      <c r="P12" s="108">
        <f t="shared" si="1"/>
        <v>1</v>
      </c>
    </row>
    <row r="13" spans="1:16" x14ac:dyDescent="0.2">
      <c r="A13" s="108" t="str">
        <f t="shared" si="6"/>
        <v/>
      </c>
      <c r="B13" s="108" t="str">
        <f t="shared" si="2"/>
        <v/>
      </c>
      <c r="C13" s="108" t="str">
        <f>IFERROR(INDEX(Starter!B:B,MATCH(B13,Starter!A:A,0)),"")</f>
        <v/>
      </c>
      <c r="D13" s="108" t="str">
        <f>IFERROR(INDEX(Starter!C:C,MATCH(B13,Starter!A:A,0)),"")</f>
        <v/>
      </c>
      <c r="E13" s="117" t="str">
        <f t="shared" si="3"/>
        <v/>
      </c>
      <c r="F13" s="108" t="str">
        <f t="shared" si="4"/>
        <v/>
      </c>
      <c r="G13" s="112" t="str">
        <f t="shared" si="5"/>
        <v/>
      </c>
      <c r="L13" s="108">
        <f>INDEX(Starter!A:A,ROW()-1)</f>
        <v>25007</v>
      </c>
      <c r="M13" s="108">
        <f>SUMIF(Erfassung6!BD:BD,L13,Erfassung6!BS:BS)</f>
        <v>0</v>
      </c>
      <c r="N13" s="108">
        <f>SUMIF(Erfassung6!BD:BD,L13,Erfassung6!BG:BG)</f>
        <v>0</v>
      </c>
      <c r="O13" s="108">
        <f t="shared" si="0"/>
        <v>0</v>
      </c>
      <c r="P13" s="108">
        <f t="shared" si="1"/>
        <v>1</v>
      </c>
    </row>
    <row r="14" spans="1:16" x14ac:dyDescent="0.2">
      <c r="A14" s="108" t="str">
        <f t="shared" si="6"/>
        <v/>
      </c>
      <c r="B14" s="108" t="str">
        <f t="shared" si="2"/>
        <v/>
      </c>
      <c r="C14" s="108" t="str">
        <f>IFERROR(INDEX(Starter!B:B,MATCH(B14,Starter!A:A,0)),"")</f>
        <v/>
      </c>
      <c r="D14" s="108" t="str">
        <f>IFERROR(INDEX(Starter!C:C,MATCH(B14,Starter!A:A,0)),"")</f>
        <v/>
      </c>
      <c r="E14" s="117" t="str">
        <f t="shared" si="3"/>
        <v/>
      </c>
      <c r="F14" s="108" t="str">
        <f t="shared" si="4"/>
        <v/>
      </c>
      <c r="G14" s="112" t="str">
        <f t="shared" si="5"/>
        <v/>
      </c>
      <c r="L14" s="108">
        <f>INDEX(Starter!A:A,ROW()-1)</f>
        <v>38661</v>
      </c>
      <c r="M14" s="108">
        <f>SUMIF(Erfassung6!BD:BD,L14,Erfassung6!BS:BS)</f>
        <v>0</v>
      </c>
      <c r="N14" s="108">
        <f>SUMIF(Erfassung6!BD:BD,L14,Erfassung6!BG:BG)</f>
        <v>0</v>
      </c>
      <c r="O14" s="108">
        <f t="shared" si="0"/>
        <v>0</v>
      </c>
      <c r="P14" s="108">
        <f t="shared" si="1"/>
        <v>1</v>
      </c>
    </row>
    <row r="15" spans="1:16" x14ac:dyDescent="0.2">
      <c r="A15" s="108" t="str">
        <f t="shared" si="6"/>
        <v/>
      </c>
      <c r="B15" s="108" t="str">
        <f t="shared" si="2"/>
        <v/>
      </c>
      <c r="C15" s="108" t="str">
        <f>IFERROR(INDEX(Starter!B:B,MATCH(B15,Starter!A:A,0)),"")</f>
        <v/>
      </c>
      <c r="D15" s="108" t="str">
        <f>IFERROR(INDEX(Starter!C:C,MATCH(B15,Starter!A:A,0)),"")</f>
        <v/>
      </c>
      <c r="E15" s="117" t="str">
        <f t="shared" si="3"/>
        <v/>
      </c>
      <c r="F15" s="108" t="str">
        <f t="shared" si="4"/>
        <v/>
      </c>
      <c r="G15" s="112" t="str">
        <f t="shared" si="5"/>
        <v/>
      </c>
      <c r="L15" s="108">
        <f>INDEX(Starter!A:A,ROW()-1)</f>
        <v>34393</v>
      </c>
      <c r="M15" s="108">
        <f>SUMIF(Erfassung6!BD:BD,L15,Erfassung6!BS:BS)</f>
        <v>0</v>
      </c>
      <c r="N15" s="108">
        <f>SUMIF(Erfassung6!BD:BD,L15,Erfassung6!BG:BG)</f>
        <v>0</v>
      </c>
      <c r="O15" s="108">
        <f t="shared" si="0"/>
        <v>0</v>
      </c>
      <c r="P15" s="108">
        <f t="shared" si="1"/>
        <v>1</v>
      </c>
    </row>
    <row r="16" spans="1:16" x14ac:dyDescent="0.2">
      <c r="A16" s="108" t="str">
        <f t="shared" si="6"/>
        <v/>
      </c>
      <c r="B16" s="108" t="str">
        <f t="shared" si="2"/>
        <v/>
      </c>
      <c r="C16" s="108" t="str">
        <f>IFERROR(INDEX(Starter!B:B,MATCH(B16,Starter!A:A,0)),"")</f>
        <v/>
      </c>
      <c r="D16" s="108" t="str">
        <f>IFERROR(INDEX(Starter!C:C,MATCH(B16,Starter!A:A,0)),"")</f>
        <v/>
      </c>
      <c r="E16" s="117" t="str">
        <f t="shared" si="3"/>
        <v/>
      </c>
      <c r="F16" s="108" t="str">
        <f t="shared" si="4"/>
        <v/>
      </c>
      <c r="G16" s="112" t="str">
        <f t="shared" si="5"/>
        <v/>
      </c>
      <c r="L16" s="108">
        <f>INDEX(Starter!A:A,ROW()-1)</f>
        <v>38823</v>
      </c>
      <c r="M16" s="108">
        <f>SUMIF(Erfassung6!BD:BD,L16,Erfassung6!BS:BS)</f>
        <v>0</v>
      </c>
      <c r="N16" s="108">
        <f>SUMIF(Erfassung6!BD:BD,L16,Erfassung6!BG:BG)</f>
        <v>0</v>
      </c>
      <c r="O16" s="108">
        <f t="shared" si="0"/>
        <v>0</v>
      </c>
      <c r="P16" s="108">
        <f t="shared" si="1"/>
        <v>1</v>
      </c>
    </row>
    <row r="17" spans="1:16" x14ac:dyDescent="0.2">
      <c r="A17" s="108" t="str">
        <f t="shared" si="6"/>
        <v/>
      </c>
      <c r="B17" s="108" t="str">
        <f t="shared" si="2"/>
        <v/>
      </c>
      <c r="C17" s="108" t="str">
        <f>IFERROR(INDEX(Starter!B:B,MATCH(B17,Starter!A:A,0)),"")</f>
        <v/>
      </c>
      <c r="D17" s="108" t="str">
        <f>IFERROR(INDEX(Starter!C:C,MATCH(B17,Starter!A:A,0)),"")</f>
        <v/>
      </c>
      <c r="E17" s="117" t="str">
        <f t="shared" si="3"/>
        <v/>
      </c>
      <c r="F17" s="108" t="str">
        <f t="shared" si="4"/>
        <v/>
      </c>
      <c r="G17" s="112" t="str">
        <f t="shared" si="5"/>
        <v/>
      </c>
      <c r="L17" s="108">
        <f>INDEX(Starter!A:A,ROW()-1)</f>
        <v>38509</v>
      </c>
      <c r="M17" s="108">
        <f>SUMIF(Erfassung6!BD:BD,L17,Erfassung6!BS:BS)</f>
        <v>0</v>
      </c>
      <c r="N17" s="108">
        <f>SUMIF(Erfassung6!BD:BD,L17,Erfassung6!BG:BG)</f>
        <v>0</v>
      </c>
      <c r="O17" s="108">
        <f t="shared" si="0"/>
        <v>0</v>
      </c>
      <c r="P17" s="108">
        <f t="shared" si="1"/>
        <v>1</v>
      </c>
    </row>
    <row r="18" spans="1:16" x14ac:dyDescent="0.2">
      <c r="A18" s="108" t="str">
        <f t="shared" si="6"/>
        <v/>
      </c>
      <c r="B18" s="108" t="str">
        <f t="shared" si="2"/>
        <v/>
      </c>
      <c r="C18" s="108" t="str">
        <f>IFERROR(INDEX(Starter!B:B,MATCH(B18,Starter!A:A,0)),"")</f>
        <v/>
      </c>
      <c r="D18" s="108" t="str">
        <f>IFERROR(INDEX(Starter!C:C,MATCH(B18,Starter!A:A,0)),"")</f>
        <v/>
      </c>
      <c r="E18" s="117" t="str">
        <f t="shared" si="3"/>
        <v/>
      </c>
      <c r="F18" s="108" t="str">
        <f t="shared" si="4"/>
        <v/>
      </c>
      <c r="G18" s="112" t="str">
        <f t="shared" si="5"/>
        <v/>
      </c>
      <c r="L18" s="108">
        <f>INDEX(Starter!A:A,ROW()-1)</f>
        <v>7282</v>
      </c>
      <c r="M18" s="108">
        <f>SUMIF(Erfassung6!BD:BD,L18,Erfassung6!BS:BS)</f>
        <v>0</v>
      </c>
      <c r="N18" s="108">
        <f>SUMIF(Erfassung6!BD:BD,L18,Erfassung6!BG:BG)</f>
        <v>0</v>
      </c>
      <c r="O18" s="108">
        <f t="shared" si="0"/>
        <v>0</v>
      </c>
      <c r="P18" s="108">
        <f t="shared" si="1"/>
        <v>1</v>
      </c>
    </row>
    <row r="19" spans="1:16" x14ac:dyDescent="0.2">
      <c r="A19" s="108" t="str">
        <f t="shared" si="6"/>
        <v/>
      </c>
      <c r="B19" s="108" t="str">
        <f t="shared" si="2"/>
        <v/>
      </c>
      <c r="C19" s="108" t="str">
        <f>IFERROR(INDEX(Starter!B:B,MATCH(B19,Starter!A:A,0)),"")</f>
        <v/>
      </c>
      <c r="D19" s="108" t="str">
        <f>IFERROR(INDEX(Starter!C:C,MATCH(B19,Starter!A:A,0)),"")</f>
        <v/>
      </c>
      <c r="E19" s="117" t="str">
        <f t="shared" si="3"/>
        <v/>
      </c>
      <c r="F19" s="108" t="str">
        <f t="shared" si="4"/>
        <v/>
      </c>
      <c r="G19" s="112" t="str">
        <f t="shared" si="5"/>
        <v/>
      </c>
      <c r="L19" s="108">
        <f>INDEX(Starter!A:A,ROW()-1)</f>
        <v>25378</v>
      </c>
      <c r="M19" s="108">
        <f>SUMIF(Erfassung6!BD:BD,L19,Erfassung6!BS:BS)</f>
        <v>0</v>
      </c>
      <c r="N19" s="108">
        <f>SUMIF(Erfassung6!BD:BD,L19,Erfassung6!BG:BG)</f>
        <v>0</v>
      </c>
      <c r="O19" s="108">
        <f t="shared" si="0"/>
        <v>0</v>
      </c>
      <c r="P19" s="108">
        <f t="shared" si="1"/>
        <v>1</v>
      </c>
    </row>
    <row r="20" spans="1:16" x14ac:dyDescent="0.2">
      <c r="A20" s="108" t="str">
        <f t="shared" si="6"/>
        <v/>
      </c>
      <c r="B20" s="108" t="str">
        <f t="shared" si="2"/>
        <v/>
      </c>
      <c r="C20" s="108" t="str">
        <f>IFERROR(INDEX(Starter!B:B,MATCH(B20,Starter!A:A,0)),"")</f>
        <v/>
      </c>
      <c r="D20" s="108" t="str">
        <f>IFERROR(INDEX(Starter!C:C,MATCH(B20,Starter!A:A,0)),"")</f>
        <v/>
      </c>
      <c r="E20" s="117" t="str">
        <f t="shared" si="3"/>
        <v/>
      </c>
      <c r="F20" s="108" t="str">
        <f t="shared" si="4"/>
        <v/>
      </c>
      <c r="G20" s="112" t="str">
        <f t="shared" si="5"/>
        <v/>
      </c>
      <c r="L20" s="108">
        <f>INDEX(Starter!A:A,ROW()-1)</f>
        <v>7286</v>
      </c>
      <c r="M20" s="108">
        <f>SUMIF(Erfassung6!BD:BD,L20,Erfassung6!BS:BS)</f>
        <v>0</v>
      </c>
      <c r="N20" s="108">
        <f>SUMIF(Erfassung6!BD:BD,L20,Erfassung6!BG:BG)</f>
        <v>0</v>
      </c>
      <c r="O20" s="108">
        <f t="shared" si="0"/>
        <v>0</v>
      </c>
      <c r="P20" s="108">
        <f t="shared" si="1"/>
        <v>1</v>
      </c>
    </row>
    <row r="21" spans="1:16" x14ac:dyDescent="0.2">
      <c r="A21" s="108" t="str">
        <f t="shared" si="6"/>
        <v/>
      </c>
      <c r="B21" s="108" t="str">
        <f t="shared" si="2"/>
        <v/>
      </c>
      <c r="C21" s="108" t="str">
        <f>IFERROR(INDEX(Starter!B:B,MATCH(B21,Starter!A:A,0)),"")</f>
        <v/>
      </c>
      <c r="D21" s="108" t="str">
        <f>IFERROR(INDEX(Starter!C:C,MATCH(B21,Starter!A:A,0)),"")</f>
        <v/>
      </c>
      <c r="E21" s="117" t="str">
        <f t="shared" si="3"/>
        <v/>
      </c>
      <c r="F21" s="108" t="str">
        <f t="shared" si="4"/>
        <v/>
      </c>
      <c r="G21" s="112" t="str">
        <f t="shared" si="5"/>
        <v/>
      </c>
      <c r="L21" s="108">
        <f>INDEX(Starter!A:A,ROW()-1)</f>
        <v>7283</v>
      </c>
      <c r="M21" s="108">
        <f>SUMIF(Erfassung6!BD:BD,L21,Erfassung6!BS:BS)</f>
        <v>0</v>
      </c>
      <c r="N21" s="108">
        <f>SUMIF(Erfassung6!BD:BD,L21,Erfassung6!BG:BG)</f>
        <v>0</v>
      </c>
      <c r="O21" s="108">
        <f t="shared" si="0"/>
        <v>0</v>
      </c>
      <c r="P21" s="108">
        <f t="shared" si="1"/>
        <v>1</v>
      </c>
    </row>
    <row r="22" spans="1:16" x14ac:dyDescent="0.2">
      <c r="A22" s="108" t="str">
        <f t="shared" si="6"/>
        <v/>
      </c>
      <c r="B22" s="108" t="str">
        <f t="shared" si="2"/>
        <v/>
      </c>
      <c r="C22" s="108" t="str">
        <f>IFERROR(INDEX(Starter!B:B,MATCH(B22,Starter!A:A,0)),"")</f>
        <v/>
      </c>
      <c r="D22" s="108" t="str">
        <f>IFERROR(INDEX(Starter!C:C,MATCH(B22,Starter!A:A,0)),"")</f>
        <v/>
      </c>
      <c r="E22" s="117" t="str">
        <f t="shared" si="3"/>
        <v/>
      </c>
      <c r="F22" s="108" t="str">
        <f t="shared" si="4"/>
        <v/>
      </c>
      <c r="G22" s="112" t="str">
        <f t="shared" si="5"/>
        <v/>
      </c>
      <c r="L22" s="108">
        <f>INDEX(Starter!A:A,ROW()-1)</f>
        <v>38046</v>
      </c>
      <c r="M22" s="108">
        <f>SUMIF(Erfassung6!BD:BD,L22,Erfassung6!BS:BS)</f>
        <v>0</v>
      </c>
      <c r="N22" s="108">
        <f>SUMIF(Erfassung6!BD:BD,L22,Erfassung6!BG:BG)</f>
        <v>0</v>
      </c>
      <c r="O22" s="108">
        <f t="shared" si="0"/>
        <v>0</v>
      </c>
      <c r="P22" s="108">
        <f t="shared" si="1"/>
        <v>1</v>
      </c>
    </row>
    <row r="23" spans="1:16" x14ac:dyDescent="0.2">
      <c r="A23" s="108" t="str">
        <f t="shared" si="6"/>
        <v/>
      </c>
      <c r="B23" s="108" t="str">
        <f t="shared" si="2"/>
        <v/>
      </c>
      <c r="C23" s="108" t="str">
        <f>IFERROR(INDEX(Starter!B:B,MATCH(B23,Starter!A:A,0)),"")</f>
        <v/>
      </c>
      <c r="D23" s="108" t="str">
        <f>IFERROR(INDEX(Starter!C:C,MATCH(B23,Starter!A:A,0)),"")</f>
        <v/>
      </c>
      <c r="E23" s="117" t="str">
        <f t="shared" si="3"/>
        <v/>
      </c>
      <c r="F23" s="108" t="str">
        <f t="shared" si="4"/>
        <v/>
      </c>
      <c r="G23" s="112" t="str">
        <f t="shared" si="5"/>
        <v/>
      </c>
      <c r="L23" s="108">
        <f>INDEX(Starter!A:A,ROW()-1)</f>
        <v>38571</v>
      </c>
      <c r="M23" s="108">
        <f>SUMIF(Erfassung6!BD:BD,L23,Erfassung6!BS:BS)</f>
        <v>0</v>
      </c>
      <c r="N23" s="108">
        <f>SUMIF(Erfassung6!BD:BD,L23,Erfassung6!BG:BG)</f>
        <v>0</v>
      </c>
      <c r="O23" s="108">
        <f t="shared" si="0"/>
        <v>0</v>
      </c>
      <c r="P23" s="108">
        <f t="shared" si="1"/>
        <v>1</v>
      </c>
    </row>
    <row r="24" spans="1:16" x14ac:dyDescent="0.2">
      <c r="A24" s="108" t="str">
        <f t="shared" si="6"/>
        <v/>
      </c>
      <c r="B24" s="108" t="str">
        <f t="shared" si="2"/>
        <v/>
      </c>
      <c r="C24" s="108" t="str">
        <f>IFERROR(INDEX(Starter!B:B,MATCH(B24,Starter!A:A,0)),"")</f>
        <v/>
      </c>
      <c r="D24" s="108" t="str">
        <f>IFERROR(INDEX(Starter!C:C,MATCH(B24,Starter!A:A,0)),"")</f>
        <v/>
      </c>
      <c r="E24" s="117" t="str">
        <f t="shared" si="3"/>
        <v/>
      </c>
      <c r="F24" s="108" t="str">
        <f t="shared" si="4"/>
        <v/>
      </c>
      <c r="G24" s="112" t="str">
        <f t="shared" si="5"/>
        <v/>
      </c>
      <c r="L24" s="108">
        <f>INDEX(Starter!A:A,ROW()-1)</f>
        <v>38870</v>
      </c>
      <c r="M24" s="108">
        <f>SUMIF(Erfassung6!BD:BD,L24,Erfassung6!BS:BS)</f>
        <v>0</v>
      </c>
      <c r="N24" s="108">
        <f>SUMIF(Erfassung6!BD:BD,L24,Erfassung6!BG:BG)</f>
        <v>0</v>
      </c>
      <c r="O24" s="108">
        <f t="shared" si="0"/>
        <v>0</v>
      </c>
      <c r="P24" s="108">
        <f t="shared" si="1"/>
        <v>1</v>
      </c>
    </row>
    <row r="25" spans="1:16" x14ac:dyDescent="0.2">
      <c r="A25" s="108" t="str">
        <f t="shared" si="6"/>
        <v/>
      </c>
      <c r="B25" s="108" t="str">
        <f t="shared" si="2"/>
        <v/>
      </c>
      <c r="C25" s="108" t="str">
        <f>IFERROR(INDEX(Starter!B:B,MATCH(B25,Starter!A:A,0)),"")</f>
        <v/>
      </c>
      <c r="D25" s="108" t="str">
        <f>IFERROR(INDEX(Starter!C:C,MATCH(B25,Starter!A:A,0)),"")</f>
        <v/>
      </c>
      <c r="E25" s="117" t="str">
        <f t="shared" si="3"/>
        <v/>
      </c>
      <c r="F25" s="108" t="str">
        <f t="shared" si="4"/>
        <v/>
      </c>
      <c r="G25" s="112" t="str">
        <f t="shared" si="5"/>
        <v/>
      </c>
      <c r="L25" s="108">
        <f>INDEX(Starter!A:A,ROW()-1)</f>
        <v>7809</v>
      </c>
      <c r="M25" s="108">
        <f>SUMIF(Erfassung6!BD:BD,L25,Erfassung6!BS:BS)</f>
        <v>0</v>
      </c>
      <c r="N25" s="108">
        <f>SUMIF(Erfassung6!BD:BD,L25,Erfassung6!BG:BG)</f>
        <v>0</v>
      </c>
      <c r="O25" s="108">
        <f t="shared" si="0"/>
        <v>0</v>
      </c>
      <c r="P25" s="108">
        <f t="shared" si="1"/>
        <v>1</v>
      </c>
    </row>
    <row r="26" spans="1:16" x14ac:dyDescent="0.2">
      <c r="A26" s="108" t="str">
        <f t="shared" si="6"/>
        <v/>
      </c>
      <c r="B26" s="108" t="str">
        <f t="shared" si="2"/>
        <v/>
      </c>
      <c r="C26" s="108" t="str">
        <f>IFERROR(INDEX(Starter!B:B,MATCH(B26,Starter!A:A,0)),"")</f>
        <v/>
      </c>
      <c r="D26" s="108" t="str">
        <f>IFERROR(INDEX(Starter!C:C,MATCH(B26,Starter!A:A,0)),"")</f>
        <v/>
      </c>
      <c r="E26" s="117" t="str">
        <f t="shared" si="3"/>
        <v/>
      </c>
      <c r="F26" s="108" t="str">
        <f t="shared" si="4"/>
        <v/>
      </c>
      <c r="G26" s="112" t="str">
        <f t="shared" si="5"/>
        <v/>
      </c>
      <c r="L26" s="108">
        <f>INDEX(Starter!A:A,ROW()-1)</f>
        <v>7814</v>
      </c>
      <c r="M26" s="108">
        <f>SUMIF(Erfassung6!BD:BD,L26,Erfassung6!BS:BS)</f>
        <v>0</v>
      </c>
      <c r="N26" s="108">
        <f>SUMIF(Erfassung6!BD:BD,L26,Erfassung6!BG:BG)</f>
        <v>0</v>
      </c>
      <c r="O26" s="108">
        <f t="shared" si="0"/>
        <v>0</v>
      </c>
      <c r="P26" s="108">
        <f t="shared" si="1"/>
        <v>1</v>
      </c>
    </row>
    <row r="27" spans="1:16" x14ac:dyDescent="0.2">
      <c r="A27" s="108" t="str">
        <f t="shared" si="6"/>
        <v/>
      </c>
      <c r="B27" s="108" t="str">
        <f t="shared" si="2"/>
        <v/>
      </c>
      <c r="C27" s="108" t="str">
        <f>IFERROR(INDEX(Starter!B:B,MATCH(B27,Starter!A:A,0)),"")</f>
        <v/>
      </c>
      <c r="D27" s="108" t="str">
        <f>IFERROR(INDEX(Starter!C:C,MATCH(B27,Starter!A:A,0)),"")</f>
        <v/>
      </c>
      <c r="E27" s="117" t="str">
        <f t="shared" si="3"/>
        <v/>
      </c>
      <c r="F27" s="108" t="str">
        <f t="shared" si="4"/>
        <v/>
      </c>
      <c r="G27" s="112" t="str">
        <f t="shared" si="5"/>
        <v/>
      </c>
      <c r="L27" s="108">
        <f>INDEX(Starter!A:A,ROW()-1)</f>
        <v>7813</v>
      </c>
      <c r="M27" s="108">
        <f>SUMIF(Erfassung6!BD:BD,L27,Erfassung6!BS:BS)</f>
        <v>0</v>
      </c>
      <c r="N27" s="108">
        <f>SUMIF(Erfassung6!BD:BD,L27,Erfassung6!BG:BG)</f>
        <v>0</v>
      </c>
      <c r="O27" s="108">
        <f t="shared" si="0"/>
        <v>0</v>
      </c>
      <c r="P27" s="108">
        <f t="shared" si="1"/>
        <v>1</v>
      </c>
    </row>
    <row r="28" spans="1:16" x14ac:dyDescent="0.2">
      <c r="A28" s="108" t="str">
        <f t="shared" si="6"/>
        <v/>
      </c>
      <c r="B28" s="108" t="str">
        <f t="shared" si="2"/>
        <v/>
      </c>
      <c r="C28" s="108" t="str">
        <f>IFERROR(INDEX(Starter!B:B,MATCH(B28,Starter!A:A,0)),"")</f>
        <v/>
      </c>
      <c r="D28" s="108" t="str">
        <f>IFERROR(INDEX(Starter!C:C,MATCH(B28,Starter!A:A,0)),"")</f>
        <v/>
      </c>
      <c r="E28" s="117" t="str">
        <f t="shared" si="3"/>
        <v/>
      </c>
      <c r="F28" s="108" t="str">
        <f t="shared" si="4"/>
        <v/>
      </c>
      <c r="G28" s="112" t="str">
        <f t="shared" si="5"/>
        <v/>
      </c>
      <c r="L28" s="108">
        <f>INDEX(Starter!A:A,ROW()-1)</f>
        <v>7730</v>
      </c>
      <c r="M28" s="108">
        <f>SUMIF(Erfassung6!BD:BD,L28,Erfassung6!BS:BS)</f>
        <v>0</v>
      </c>
      <c r="N28" s="108">
        <f>SUMIF(Erfassung6!BD:BD,L28,Erfassung6!BG:BG)</f>
        <v>0</v>
      </c>
      <c r="O28" s="108">
        <f t="shared" si="0"/>
        <v>0</v>
      </c>
      <c r="P28" s="108">
        <f t="shared" si="1"/>
        <v>1</v>
      </c>
    </row>
    <row r="29" spans="1:16" x14ac:dyDescent="0.2">
      <c r="A29" s="108" t="str">
        <f t="shared" si="6"/>
        <v/>
      </c>
      <c r="B29" s="108" t="str">
        <f t="shared" si="2"/>
        <v/>
      </c>
      <c r="C29" s="108" t="str">
        <f>IFERROR(INDEX(Starter!B:B,MATCH(B29,Starter!A:A,0)),"")</f>
        <v/>
      </c>
      <c r="D29" s="108" t="str">
        <f>IFERROR(INDEX(Starter!C:C,MATCH(B29,Starter!A:A,0)),"")</f>
        <v/>
      </c>
      <c r="E29" s="117" t="str">
        <f t="shared" si="3"/>
        <v/>
      </c>
      <c r="F29" s="108" t="str">
        <f t="shared" si="4"/>
        <v/>
      </c>
      <c r="G29" s="112" t="str">
        <f t="shared" si="5"/>
        <v/>
      </c>
      <c r="L29" s="108">
        <f>INDEX(Starter!A:A,ROW()-1)</f>
        <v>25130</v>
      </c>
      <c r="M29" s="108">
        <f>SUMIF(Erfassung6!BD:BD,L29,Erfassung6!BS:BS)</f>
        <v>0</v>
      </c>
      <c r="N29" s="108">
        <f>SUMIF(Erfassung6!BD:BD,L29,Erfassung6!BG:BG)</f>
        <v>0</v>
      </c>
      <c r="O29" s="108">
        <f t="shared" si="0"/>
        <v>0</v>
      </c>
      <c r="P29" s="108">
        <f t="shared" si="1"/>
        <v>1</v>
      </c>
    </row>
    <row r="30" spans="1:16" x14ac:dyDescent="0.2">
      <c r="A30" s="108" t="str">
        <f t="shared" si="6"/>
        <v/>
      </c>
      <c r="B30" s="108" t="str">
        <f t="shared" si="2"/>
        <v/>
      </c>
      <c r="C30" s="108" t="str">
        <f>IFERROR(INDEX(Starter!B:B,MATCH(B30,Starter!A:A,0)),"")</f>
        <v/>
      </c>
      <c r="D30" s="108" t="str">
        <f>IFERROR(INDEX(Starter!C:C,MATCH(B30,Starter!A:A,0)),"")</f>
        <v/>
      </c>
      <c r="E30" s="117" t="str">
        <f t="shared" si="3"/>
        <v/>
      </c>
      <c r="F30" s="108" t="str">
        <f t="shared" si="4"/>
        <v/>
      </c>
      <c r="G30" s="112" t="str">
        <f t="shared" si="5"/>
        <v/>
      </c>
      <c r="L30" s="108">
        <f>INDEX(Starter!A:A,ROW()-1)</f>
        <v>7854</v>
      </c>
      <c r="M30" s="108">
        <f>SUMIF(Erfassung6!BD:BD,L30,Erfassung6!BS:BS)</f>
        <v>0</v>
      </c>
      <c r="N30" s="108">
        <f>SUMIF(Erfassung6!BD:BD,L30,Erfassung6!BG:BG)</f>
        <v>0</v>
      </c>
      <c r="O30" s="108">
        <f t="shared" si="0"/>
        <v>0</v>
      </c>
      <c r="P30" s="108">
        <f t="shared" si="1"/>
        <v>1</v>
      </c>
    </row>
    <row r="31" spans="1:16" x14ac:dyDescent="0.2">
      <c r="A31" s="108" t="str">
        <f t="shared" si="6"/>
        <v/>
      </c>
      <c r="B31" s="108" t="str">
        <f t="shared" si="2"/>
        <v/>
      </c>
      <c r="C31" s="108" t="str">
        <f>IFERROR(INDEX(Starter!B:B,MATCH(B31,Starter!A:A,0)),"")</f>
        <v/>
      </c>
      <c r="D31" s="108" t="str">
        <f>IFERROR(INDEX(Starter!C:C,MATCH(B31,Starter!A:A,0)),"")</f>
        <v/>
      </c>
      <c r="E31" s="117" t="str">
        <f t="shared" si="3"/>
        <v/>
      </c>
      <c r="F31" s="108" t="str">
        <f t="shared" si="4"/>
        <v/>
      </c>
      <c r="G31" s="112" t="str">
        <f t="shared" si="5"/>
        <v/>
      </c>
      <c r="L31" s="108">
        <f>INDEX(Starter!A:A,ROW()-1)</f>
        <v>7849</v>
      </c>
      <c r="M31" s="108">
        <f>SUMIF(Erfassung6!BD:BD,L31,Erfassung6!BS:BS)</f>
        <v>0</v>
      </c>
      <c r="N31" s="108">
        <f>SUMIF(Erfassung6!BD:BD,L31,Erfassung6!BG:BG)</f>
        <v>0</v>
      </c>
      <c r="O31" s="108">
        <f t="shared" si="0"/>
        <v>0</v>
      </c>
      <c r="P31" s="108">
        <f t="shared" si="1"/>
        <v>1</v>
      </c>
    </row>
    <row r="32" spans="1:16" x14ac:dyDescent="0.2">
      <c r="A32" s="108" t="str">
        <f t="shared" si="6"/>
        <v/>
      </c>
      <c r="B32" s="108" t="str">
        <f t="shared" si="2"/>
        <v/>
      </c>
      <c r="C32" s="108" t="str">
        <f>IFERROR(INDEX(Starter!B:B,MATCH(B32,Starter!A:A,0)),"")</f>
        <v/>
      </c>
      <c r="D32" s="108" t="str">
        <f>IFERROR(INDEX(Starter!C:C,MATCH(B32,Starter!A:A,0)),"")</f>
        <v/>
      </c>
      <c r="E32" s="117" t="str">
        <f t="shared" si="3"/>
        <v/>
      </c>
      <c r="F32" s="108" t="str">
        <f t="shared" si="4"/>
        <v/>
      </c>
      <c r="G32" s="112" t="str">
        <f t="shared" si="5"/>
        <v/>
      </c>
      <c r="L32" s="108">
        <f>INDEX(Starter!A:A,ROW()-1)</f>
        <v>38869</v>
      </c>
      <c r="M32" s="108">
        <f>SUMIF(Erfassung6!BD:BD,L32,Erfassung6!BS:BS)</f>
        <v>0</v>
      </c>
      <c r="N32" s="108">
        <f>SUMIF(Erfassung6!BD:BD,L32,Erfassung6!BG:BG)</f>
        <v>0</v>
      </c>
      <c r="O32" s="108">
        <f t="shared" si="0"/>
        <v>0</v>
      </c>
      <c r="P32" s="108">
        <f t="shared" si="1"/>
        <v>1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SUMIF(Erfassung6!BD:BD,L33,Erfassung6!BS:BS)</f>
        <v>0</v>
      </c>
      <c r="N33" s="108">
        <f>SUMIF(Erfassung6!BD:BD,L33,Erfassung6!BG:BG)</f>
        <v>0</v>
      </c>
      <c r="O33" s="108">
        <f t="shared" si="0"/>
        <v>0</v>
      </c>
      <c r="P33" s="108">
        <f t="shared" si="1"/>
        <v>1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SUMIF(Erfassung6!BD:BD,L34,Erfassung6!BS:BS)</f>
        <v>0</v>
      </c>
      <c r="N34" s="108">
        <f>SUMIF(Erfassung6!BD:BD,L34,Erfassung6!BG:BG)</f>
        <v>0</v>
      </c>
      <c r="O34" s="108">
        <f t="shared" si="0"/>
        <v>0</v>
      </c>
      <c r="P34" s="108">
        <f t="shared" si="1"/>
        <v>1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SUMIF(Erfassung6!BD:BD,L35,Erfassung6!BS:BS)</f>
        <v>0</v>
      </c>
      <c r="N35" s="108">
        <f>SUMIF(Erfassung6!BD:BD,L35,Erfassung6!BG:BG)</f>
        <v>0</v>
      </c>
      <c r="O35" s="108">
        <f t="shared" si="0"/>
        <v>0</v>
      </c>
      <c r="P35" s="108">
        <f t="shared" si="1"/>
        <v>1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SUMIF(Erfassung6!BD:BD,L36,Erfassung6!BS:BS)</f>
        <v>0</v>
      </c>
      <c r="N36" s="108">
        <f>SUMIF(Erfassung6!BD:BD,L36,Erfassung6!BG:BG)</f>
        <v>0</v>
      </c>
      <c r="O36" s="108">
        <f t="shared" si="0"/>
        <v>0</v>
      </c>
      <c r="P36" s="108">
        <f t="shared" si="1"/>
        <v>1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SUMIF(Erfassung6!BD:BD,L37,Erfassung6!BS:BS)</f>
        <v>0</v>
      </c>
      <c r="N37" s="108">
        <f>SUMIF(Erfassung6!BD:BD,L37,Erfassung6!BG:BG)</f>
        <v>0</v>
      </c>
      <c r="O37" s="108">
        <f t="shared" si="0"/>
        <v>0</v>
      </c>
      <c r="P37" s="108">
        <f t="shared" si="1"/>
        <v>1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SUMIF(Erfassung6!BD:BD,L38,Erfassung6!BS:BS)</f>
        <v>0</v>
      </c>
      <c r="N38" s="108">
        <f>SUMIF(Erfassung6!BD:BD,L38,Erfassung6!BG:BG)</f>
        <v>0</v>
      </c>
      <c r="O38" s="108">
        <f t="shared" si="0"/>
        <v>0</v>
      </c>
      <c r="P38" s="108">
        <f t="shared" si="1"/>
        <v>1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SUMIF(Erfassung6!BD:BD,L39,Erfassung6!BS:BS)</f>
        <v>0</v>
      </c>
      <c r="N39" s="108">
        <f>SUMIF(Erfassung6!BD:BD,L39,Erfassung6!BG:BG)</f>
        <v>0</v>
      </c>
      <c r="O39" s="108">
        <f t="shared" si="0"/>
        <v>0</v>
      </c>
      <c r="P39" s="108">
        <f t="shared" si="1"/>
        <v>1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SUMIF(Erfassung6!BD:BD,L40,Erfassung6!BS:BS)</f>
        <v>0</v>
      </c>
      <c r="N40" s="108">
        <f>SUMIF(Erfassung6!BD:BD,L40,Erfassung6!BG:BG)</f>
        <v>0</v>
      </c>
      <c r="O40" s="108">
        <f t="shared" si="0"/>
        <v>0</v>
      </c>
      <c r="P40" s="108">
        <f t="shared" si="1"/>
        <v>1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SUMIF(Erfassung6!BD:BD,L41,Erfassung6!BS:BS)</f>
        <v>0</v>
      </c>
      <c r="N41" s="108">
        <f>SUMIF(Erfassung6!BD:BD,L41,Erfassung6!BG:BG)</f>
        <v>0</v>
      </c>
      <c r="O41" s="108">
        <f t="shared" si="0"/>
        <v>0</v>
      </c>
      <c r="P41" s="108">
        <f t="shared" si="1"/>
        <v>1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SUMIF(Erfassung6!BD:BD,L42,Erfassung6!BS:BS)</f>
        <v>0</v>
      </c>
      <c r="N42" s="108">
        <f>SUMIF(Erfassung6!BD:BD,L42,Erfassung6!BG:BG)</f>
        <v>0</v>
      </c>
      <c r="O42" s="108">
        <f t="shared" si="0"/>
        <v>0</v>
      </c>
      <c r="P42" s="108">
        <f t="shared" si="1"/>
        <v>1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SUMIF(Erfassung6!BD:BD,L43,Erfassung6!BS:BS)</f>
        <v>0</v>
      </c>
      <c r="N43" s="108">
        <f>SUMIF(Erfassung6!BD:BD,L43,Erfassung6!BG:BG)</f>
        <v>0</v>
      </c>
      <c r="O43" s="108">
        <f t="shared" si="0"/>
        <v>0</v>
      </c>
      <c r="P43" s="108">
        <f t="shared" si="1"/>
        <v>1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SUMIF(Erfassung6!BD:BD,L44,Erfassung6!BS:BS)</f>
        <v>0</v>
      </c>
      <c r="N44" s="108">
        <f>SUMIF(Erfassung6!BD:BD,L44,Erfassung6!BG:BG)</f>
        <v>0</v>
      </c>
      <c r="O44" s="108">
        <f t="shared" si="0"/>
        <v>0</v>
      </c>
      <c r="P44" s="108">
        <f t="shared" si="1"/>
        <v>1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SUMIF(Erfassung6!BD:BD,L45,Erfassung6!BS:BS)</f>
        <v>0</v>
      </c>
      <c r="N45" s="108">
        <f>SUMIF(Erfassung6!BD:BD,L45,Erfassung6!BG:BG)</f>
        <v>0</v>
      </c>
      <c r="O45" s="108">
        <f t="shared" si="0"/>
        <v>0</v>
      </c>
      <c r="P45" s="108">
        <f t="shared" si="1"/>
        <v>1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SUMIF(Erfassung6!BD:BD,L46,Erfassung6!BS:BS)</f>
        <v>0</v>
      </c>
      <c r="N46" s="108">
        <f>SUMIF(Erfassung6!BD:BD,L46,Erfassung6!BG:BG)</f>
        <v>0</v>
      </c>
      <c r="O46" s="108">
        <f t="shared" si="0"/>
        <v>0</v>
      </c>
      <c r="P46" s="108">
        <f t="shared" si="1"/>
        <v>1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SUMIF(Erfassung6!BD:BD,L47,Erfassung6!BS:BS)</f>
        <v>0</v>
      </c>
      <c r="N47" s="108">
        <f>SUMIF(Erfassung6!BD:BD,L47,Erfassung6!BG:BG)</f>
        <v>0</v>
      </c>
      <c r="O47" s="108">
        <f t="shared" si="0"/>
        <v>0</v>
      </c>
      <c r="P47" s="108">
        <f t="shared" si="1"/>
        <v>1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SUMIF(Erfassung6!BD:BD,L48,Erfassung6!BS:BS)</f>
        <v>0</v>
      </c>
      <c r="N48" s="108">
        <f>SUMIF(Erfassung6!BD:BD,L48,Erfassung6!BG:BG)</f>
        <v>0</v>
      </c>
      <c r="O48" s="108">
        <f t="shared" si="0"/>
        <v>0</v>
      </c>
      <c r="P48" s="108">
        <f t="shared" si="1"/>
        <v>1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SUMIF(Erfassung6!BD:BD,L49,Erfassung6!BS:BS)</f>
        <v>0</v>
      </c>
      <c r="N49" s="108">
        <f>SUMIF(Erfassung6!BD:BD,L49,Erfassung6!BG:BG)</f>
        <v>0</v>
      </c>
      <c r="O49" s="108">
        <f t="shared" si="0"/>
        <v>0</v>
      </c>
      <c r="P49" s="108">
        <f t="shared" si="1"/>
        <v>1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SUMIF(Erfassung6!BD:BD,L50,Erfassung6!BS:BS)</f>
        <v>0</v>
      </c>
      <c r="N50" s="108">
        <f>SUMIF(Erfassung6!BD:BD,L50,Erfassung6!BG:BG)</f>
        <v>0</v>
      </c>
      <c r="O50" s="108">
        <f t="shared" si="0"/>
        <v>0</v>
      </c>
      <c r="P50" s="108">
        <f t="shared" si="1"/>
        <v>1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SUMIF(Erfassung6!BD:BD,L51,Erfassung6!BS:BS)</f>
        <v>0</v>
      </c>
      <c r="N51" s="108">
        <f>SUMIF(Erfassung6!BD:BD,L51,Erfassung6!BG:BG)</f>
        <v>0</v>
      </c>
      <c r="O51" s="108">
        <f t="shared" si="0"/>
        <v>0</v>
      </c>
      <c r="P51" s="108">
        <f t="shared" si="1"/>
        <v>1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SUMIF(Erfassung6!BD:BD,L52,Erfassung6!BS:BS)</f>
        <v>0</v>
      </c>
      <c r="N52" s="108">
        <f>SUMIF(Erfassung6!BD:BD,L52,Erfassung6!BG:BG)</f>
        <v>0</v>
      </c>
      <c r="O52" s="108">
        <f t="shared" si="0"/>
        <v>0</v>
      </c>
      <c r="P52" s="108">
        <f t="shared" si="1"/>
        <v>1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SUMIF(Erfassung6!BD:BD,L53,Erfassung6!BS:BS)</f>
        <v>0</v>
      </c>
      <c r="N53" s="108">
        <f>SUMIF(Erfassung6!BD:BD,L53,Erfassung6!BG:BG)</f>
        <v>0</v>
      </c>
      <c r="O53" s="108">
        <f t="shared" si="0"/>
        <v>0</v>
      </c>
      <c r="P53" s="108">
        <f t="shared" si="1"/>
        <v>1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SUMIF(Erfassung6!BD:BD,L54,Erfassung6!BS:BS)</f>
        <v>0</v>
      </c>
      <c r="N54" s="108">
        <f>SUMIF(Erfassung6!BD:BD,L54,Erfassung6!BG:BG)</f>
        <v>0</v>
      </c>
      <c r="O54" s="108">
        <f t="shared" si="0"/>
        <v>0</v>
      </c>
      <c r="P54" s="108">
        <f t="shared" si="1"/>
        <v>1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SUMIF(Erfassung6!BD:BD,L55,Erfassung6!BS:BS)</f>
        <v>0</v>
      </c>
      <c r="N55" s="108">
        <f>SUMIF(Erfassung6!BD:BD,L55,Erfassung6!BG:BG)</f>
        <v>0</v>
      </c>
      <c r="O55" s="108">
        <f t="shared" si="0"/>
        <v>0</v>
      </c>
      <c r="P55" s="108">
        <f t="shared" si="1"/>
        <v>1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SUMIF(Erfassung6!BD:BD,L56,Erfassung6!BS:BS)</f>
        <v>0</v>
      </c>
      <c r="N56" s="108">
        <f>SUMIF(Erfassung6!BD:BD,L56,Erfassung6!BG:BG)</f>
        <v>0</v>
      </c>
      <c r="O56" s="108">
        <f t="shared" si="0"/>
        <v>0</v>
      </c>
      <c r="P56" s="108">
        <f t="shared" si="1"/>
        <v>1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SUMIF(Erfassung6!BD:BD,L57,Erfassung6!BS:BS)</f>
        <v>0</v>
      </c>
      <c r="N57" s="108">
        <f>SUMIF(Erfassung6!BD:BD,L57,Erfassung6!BG:BG)</f>
        <v>0</v>
      </c>
      <c r="O57" s="108">
        <f t="shared" si="0"/>
        <v>0</v>
      </c>
      <c r="P57" s="108">
        <f t="shared" si="1"/>
        <v>1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SUMIF(Erfassung6!BD:BD,L58,Erfassung6!BS:BS)</f>
        <v>0</v>
      </c>
      <c r="N58" s="108">
        <f>SUMIF(Erfassung6!BD:BD,L58,Erfassung6!BG:BG)</f>
        <v>0</v>
      </c>
      <c r="O58" s="108">
        <f t="shared" si="0"/>
        <v>0</v>
      </c>
      <c r="P58" s="108">
        <f t="shared" si="1"/>
        <v>1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SUMIF(Erfassung6!BD:BD,L59,Erfassung6!BS:BS)</f>
        <v>0</v>
      </c>
      <c r="N59" s="108">
        <f>SUMIF(Erfassung6!BD:BD,L59,Erfassung6!BG:BG)</f>
        <v>0</v>
      </c>
      <c r="O59" s="108">
        <f t="shared" si="0"/>
        <v>0</v>
      </c>
      <c r="P59" s="108">
        <f t="shared" si="1"/>
        <v>1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SUMIF(Erfassung6!BD:BD,L60,Erfassung6!BS:BS)</f>
        <v>0</v>
      </c>
      <c r="N60" s="108">
        <f>SUMIF(Erfassung6!BD:BD,L60,Erfassung6!BG:BG)</f>
        <v>0</v>
      </c>
      <c r="O60" s="108">
        <f t="shared" si="0"/>
        <v>0</v>
      </c>
      <c r="P60" s="108">
        <f t="shared" si="1"/>
        <v>1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SUMIF(Erfassung6!BD:BD,L61,Erfassung6!BS:BS)</f>
        <v>0</v>
      </c>
      <c r="N61" s="108">
        <f>SUMIF(Erfassung6!BD:BD,L61,Erfassung6!BG:BG)</f>
        <v>0</v>
      </c>
      <c r="O61" s="108">
        <f t="shared" si="0"/>
        <v>0</v>
      </c>
      <c r="P61" s="108">
        <f t="shared" si="1"/>
        <v>1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SUMIF(Erfassung6!BD:BD,L62,Erfassung6!BS:BS)</f>
        <v>0</v>
      </c>
      <c r="N62" s="108">
        <f>SUMIF(Erfassung6!BD:BD,L62,Erfassung6!BG:BG)</f>
        <v>0</v>
      </c>
      <c r="O62" s="108">
        <f t="shared" si="0"/>
        <v>0</v>
      </c>
      <c r="P62" s="108">
        <f t="shared" si="1"/>
        <v>1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SUMIF(Erfassung6!BD:BD,L63,Erfassung6!BS:BS)</f>
        <v>0</v>
      </c>
      <c r="N63" s="108">
        <f>SUMIF(Erfassung6!BD:BD,L63,Erfassung6!BG:BG)</f>
        <v>0</v>
      </c>
      <c r="O63" s="108">
        <f t="shared" si="0"/>
        <v>0</v>
      </c>
      <c r="P63" s="108">
        <f t="shared" si="1"/>
        <v>1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SUMIF(Erfassung6!BD:BD,L64,Erfassung6!BS:BS)</f>
        <v>0</v>
      </c>
      <c r="N64" s="108">
        <f>SUMIF(Erfassung6!BD:BD,L64,Erfassung6!BG:BG)</f>
        <v>0</v>
      </c>
      <c r="O64" s="108">
        <f t="shared" si="0"/>
        <v>0</v>
      </c>
      <c r="P64" s="108">
        <f t="shared" si="1"/>
        <v>1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SUMIF(Erfassung6!BD:BD,L65,Erfassung6!BS:BS)</f>
        <v>0</v>
      </c>
      <c r="N65" s="108">
        <f>SUMIF(Erfassung6!BD:BD,L65,Erfassung6!BG:BG)</f>
        <v>0</v>
      </c>
      <c r="O65" s="108">
        <f t="shared" si="0"/>
        <v>0</v>
      </c>
      <c r="P65" s="108">
        <f t="shared" si="1"/>
        <v>1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SUMIF(Erfassung6!BD:BD,L66,Erfassung6!BS:BS)</f>
        <v>0</v>
      </c>
      <c r="N66" s="108">
        <f>SUMIF(Erfassung6!BD:BD,L66,Erfassung6!BG:BG)</f>
        <v>0</v>
      </c>
      <c r="O66" s="108">
        <f t="shared" ref="O66:O104" si="7">IF(N66=0,0,M66/N66-ROW()/1000000000)</f>
        <v>0</v>
      </c>
      <c r="P66" s="108">
        <f t="shared" ref="P66:P104" si="8">RANK(O66,O:O)</f>
        <v>1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SUMIF(Erfassung6!BD:BD,L67,Erfassung6!BS:BS)</f>
        <v>0</v>
      </c>
      <c r="N67" s="108">
        <f>SUMIF(Erfassung6!BD:BD,L67,Erfassung6!BG:BG)</f>
        <v>0</v>
      </c>
      <c r="O67" s="108">
        <f t="shared" si="7"/>
        <v>0</v>
      </c>
      <c r="P67" s="108">
        <f t="shared" si="8"/>
        <v>1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SUMIF(Erfassung6!BD:BD,L68,Erfassung6!BS:BS)</f>
        <v>0</v>
      </c>
      <c r="N68" s="108">
        <f>SUMIF(Erfassung6!BD:BD,L68,Erfassung6!BG:BG)</f>
        <v>0</v>
      </c>
      <c r="O68" s="108">
        <f t="shared" si="7"/>
        <v>0</v>
      </c>
      <c r="P68" s="108">
        <f t="shared" si="8"/>
        <v>1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SUMIF(Erfassung6!BD:BD,L69,Erfassung6!BS:BS)</f>
        <v>0</v>
      </c>
      <c r="N69" s="108">
        <f>SUMIF(Erfassung6!BD:BD,L69,Erfassung6!BG:BG)</f>
        <v>0</v>
      </c>
      <c r="O69" s="108">
        <f t="shared" si="7"/>
        <v>0</v>
      </c>
      <c r="P69" s="108">
        <f t="shared" si="8"/>
        <v>1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SUMIF(Erfassung6!BD:BD,L70,Erfassung6!BS:BS)</f>
        <v>0</v>
      </c>
      <c r="N70" s="108">
        <f>SUMIF(Erfassung6!BD:BD,L70,Erfassung6!BG:BG)</f>
        <v>0</v>
      </c>
      <c r="O70" s="108">
        <f t="shared" si="7"/>
        <v>0</v>
      </c>
      <c r="P70" s="108">
        <f t="shared" si="8"/>
        <v>1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SUMIF(Erfassung6!BD:BD,L71,Erfassung6!BS:BS)</f>
        <v>0</v>
      </c>
      <c r="N71" s="108">
        <f>SUMIF(Erfassung6!BD:BD,L71,Erfassung6!BG:BG)</f>
        <v>0</v>
      </c>
      <c r="O71" s="108">
        <f t="shared" si="7"/>
        <v>0</v>
      </c>
      <c r="P71" s="108">
        <f t="shared" si="8"/>
        <v>1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SUMIF(Erfassung6!BD:BD,L72,Erfassung6!BS:BS)</f>
        <v>0</v>
      </c>
      <c r="N72" s="108">
        <f>SUMIF(Erfassung6!BD:BD,L72,Erfassung6!BG:BG)</f>
        <v>0</v>
      </c>
      <c r="O72" s="108">
        <f t="shared" si="7"/>
        <v>0</v>
      </c>
      <c r="P72" s="108">
        <f t="shared" si="8"/>
        <v>1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SUMIF(Erfassung6!BD:BD,L73,Erfassung6!BS:BS)</f>
        <v>0</v>
      </c>
      <c r="N73" s="108">
        <f>SUMIF(Erfassung6!BD:BD,L73,Erfassung6!BG:BG)</f>
        <v>0</v>
      </c>
      <c r="O73" s="108">
        <f t="shared" si="7"/>
        <v>0</v>
      </c>
      <c r="P73" s="108">
        <f t="shared" si="8"/>
        <v>1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SUMIF(Erfassung6!BD:BD,L74,Erfassung6!BS:BS)</f>
        <v>0</v>
      </c>
      <c r="N74" s="108">
        <f>SUMIF(Erfassung6!BD:BD,L74,Erfassung6!BG:BG)</f>
        <v>0</v>
      </c>
      <c r="O74" s="108">
        <f t="shared" si="7"/>
        <v>0</v>
      </c>
      <c r="P74" s="108">
        <f t="shared" si="8"/>
        <v>1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SUMIF(Erfassung6!BD:BD,L75,Erfassung6!BS:BS)</f>
        <v>0</v>
      </c>
      <c r="N75" s="108">
        <f>SUMIF(Erfassung6!BD:BD,L75,Erfassung6!BG:BG)</f>
        <v>0</v>
      </c>
      <c r="O75" s="108">
        <f t="shared" si="7"/>
        <v>0</v>
      </c>
      <c r="P75" s="108">
        <f t="shared" si="8"/>
        <v>1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SUMIF(Erfassung6!BD:BD,L76,Erfassung6!BS:BS)</f>
        <v>0</v>
      </c>
      <c r="N76" s="108">
        <f>SUMIF(Erfassung6!BD:BD,L76,Erfassung6!BG:BG)</f>
        <v>0</v>
      </c>
      <c r="O76" s="108">
        <f t="shared" si="7"/>
        <v>0</v>
      </c>
      <c r="P76" s="108">
        <f t="shared" si="8"/>
        <v>1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SUMIF(Erfassung6!BD:BD,L77,Erfassung6!BS:BS)</f>
        <v>0</v>
      </c>
      <c r="N77" s="108">
        <f>SUMIF(Erfassung6!BD:BD,L77,Erfassung6!BG:BG)</f>
        <v>0</v>
      </c>
      <c r="O77" s="108">
        <f t="shared" si="7"/>
        <v>0</v>
      </c>
      <c r="P77" s="108">
        <f t="shared" si="8"/>
        <v>1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SUMIF(Erfassung6!BD:BD,L78,Erfassung6!BS:BS)</f>
        <v>0</v>
      </c>
      <c r="N78" s="108">
        <f>SUMIF(Erfassung6!BD:BD,L78,Erfassung6!BG:BG)</f>
        <v>0</v>
      </c>
      <c r="O78" s="108">
        <f t="shared" si="7"/>
        <v>0</v>
      </c>
      <c r="P78" s="108">
        <f t="shared" si="8"/>
        <v>1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SUMIF(Erfassung6!BD:BD,L79,Erfassung6!BS:BS)</f>
        <v>0</v>
      </c>
      <c r="N79" s="108">
        <f>SUMIF(Erfassung6!BD:BD,L79,Erfassung6!BG:BG)</f>
        <v>0</v>
      </c>
      <c r="O79" s="108">
        <f t="shared" si="7"/>
        <v>0</v>
      </c>
      <c r="P79" s="108">
        <f t="shared" si="8"/>
        <v>1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SUMIF(Erfassung6!BD:BD,L80,Erfassung6!BS:BS)</f>
        <v>0</v>
      </c>
      <c r="N80" s="108">
        <f>SUMIF(Erfassung6!BD:BD,L80,Erfassung6!BG:BG)</f>
        <v>0</v>
      </c>
      <c r="O80" s="108">
        <f t="shared" si="7"/>
        <v>0</v>
      </c>
      <c r="P80" s="108">
        <f t="shared" si="8"/>
        <v>1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SUMIF(Erfassung6!BD:BD,L81,Erfassung6!BS:BS)</f>
        <v>0</v>
      </c>
      <c r="N81" s="108">
        <f>SUMIF(Erfassung6!BD:BD,L81,Erfassung6!BG:BG)</f>
        <v>0</v>
      </c>
      <c r="O81" s="108">
        <f t="shared" si="7"/>
        <v>0</v>
      </c>
      <c r="P81" s="108">
        <f t="shared" si="8"/>
        <v>1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SUMIF(Erfassung6!BD:BD,L82,Erfassung6!BS:BS)</f>
        <v>0</v>
      </c>
      <c r="N82" s="108">
        <f>SUMIF(Erfassung6!BD:BD,L82,Erfassung6!BG:BG)</f>
        <v>0</v>
      </c>
      <c r="O82" s="108">
        <f t="shared" si="7"/>
        <v>0</v>
      </c>
      <c r="P82" s="108">
        <f t="shared" si="8"/>
        <v>1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SUMIF(Erfassung6!BD:BD,L83,Erfassung6!BS:BS)</f>
        <v>0</v>
      </c>
      <c r="N83" s="108">
        <f>SUMIF(Erfassung6!BD:BD,L83,Erfassung6!BG:BG)</f>
        <v>0</v>
      </c>
      <c r="O83" s="108">
        <f t="shared" si="7"/>
        <v>0</v>
      </c>
      <c r="P83" s="108">
        <f t="shared" si="8"/>
        <v>1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SUMIF(Erfassung6!BD:BD,L84,Erfassung6!BS:BS)</f>
        <v>0</v>
      </c>
      <c r="N84" s="108">
        <f>SUMIF(Erfassung6!BD:BD,L84,Erfassung6!BG:BG)</f>
        <v>0</v>
      </c>
      <c r="O84" s="108">
        <f t="shared" si="7"/>
        <v>0</v>
      </c>
      <c r="P84" s="108">
        <f t="shared" si="8"/>
        <v>1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SUMIF(Erfassung6!BD:BD,L85,Erfassung6!BS:BS)</f>
        <v>0</v>
      </c>
      <c r="N85" s="108">
        <f>SUMIF(Erfassung6!BD:BD,L85,Erfassung6!BG:BG)</f>
        <v>0</v>
      </c>
      <c r="O85" s="108">
        <f t="shared" si="7"/>
        <v>0</v>
      </c>
      <c r="P85" s="108">
        <f t="shared" si="8"/>
        <v>1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SUMIF(Erfassung6!BD:BD,L86,Erfassung6!BS:BS)</f>
        <v>0</v>
      </c>
      <c r="N86" s="108">
        <f>SUMIF(Erfassung6!BD:BD,L86,Erfassung6!BG:BG)</f>
        <v>0</v>
      </c>
      <c r="O86" s="108">
        <f t="shared" si="7"/>
        <v>0</v>
      </c>
      <c r="P86" s="108">
        <f t="shared" si="8"/>
        <v>1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SUMIF(Erfassung6!BD:BD,L87,Erfassung6!BS:BS)</f>
        <v>0</v>
      </c>
      <c r="N87" s="108">
        <f>SUMIF(Erfassung6!BD:BD,L87,Erfassung6!BG:BG)</f>
        <v>0</v>
      </c>
      <c r="O87" s="108">
        <f t="shared" si="7"/>
        <v>0</v>
      </c>
      <c r="P87" s="108">
        <f t="shared" si="8"/>
        <v>1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SUMIF(Erfassung6!BD:BD,L88,Erfassung6!BS:BS)</f>
        <v>0</v>
      </c>
      <c r="N88" s="108">
        <f>SUMIF(Erfassung6!BD:BD,L88,Erfassung6!BG:BG)</f>
        <v>0</v>
      </c>
      <c r="O88" s="108">
        <f t="shared" si="7"/>
        <v>0</v>
      </c>
      <c r="P88" s="108">
        <f t="shared" si="8"/>
        <v>1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SUMIF(Erfassung6!BD:BD,L89,Erfassung6!BS:BS)</f>
        <v>0</v>
      </c>
      <c r="N89" s="108">
        <f>SUMIF(Erfassung6!BD:BD,L89,Erfassung6!BG:BG)</f>
        <v>0</v>
      </c>
      <c r="O89" s="108">
        <f t="shared" si="7"/>
        <v>0</v>
      </c>
      <c r="P89" s="108">
        <f t="shared" si="8"/>
        <v>1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SUMIF(Erfassung6!BD:BD,L90,Erfassung6!BS:BS)</f>
        <v>0</v>
      </c>
      <c r="N90" s="108">
        <f>SUMIF(Erfassung6!BD:BD,L90,Erfassung6!BG:BG)</f>
        <v>0</v>
      </c>
      <c r="O90" s="108">
        <f t="shared" si="7"/>
        <v>0</v>
      </c>
      <c r="P90" s="108">
        <f t="shared" si="8"/>
        <v>1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SUMIF(Erfassung6!BD:BD,L91,Erfassung6!BS:BS)</f>
        <v>0</v>
      </c>
      <c r="N91" s="108">
        <f>SUMIF(Erfassung6!BD:BD,L91,Erfassung6!BG:BG)</f>
        <v>0</v>
      </c>
      <c r="O91" s="108">
        <f t="shared" si="7"/>
        <v>0</v>
      </c>
      <c r="P91" s="108">
        <f t="shared" si="8"/>
        <v>1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SUMIF(Erfassung6!BD:BD,L92,Erfassung6!BS:BS)</f>
        <v>0</v>
      </c>
      <c r="N92" s="108">
        <f>SUMIF(Erfassung6!BD:BD,L92,Erfassung6!BG:BG)</f>
        <v>0</v>
      </c>
      <c r="O92" s="108">
        <f t="shared" si="7"/>
        <v>0</v>
      </c>
      <c r="P92" s="108">
        <f t="shared" si="8"/>
        <v>1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SUMIF(Erfassung6!BD:BD,L93,Erfassung6!BS:BS)</f>
        <v>0</v>
      </c>
      <c r="N93" s="108">
        <f>SUMIF(Erfassung6!BD:BD,L93,Erfassung6!BG:BG)</f>
        <v>0</v>
      </c>
      <c r="O93" s="108">
        <f t="shared" si="7"/>
        <v>0</v>
      </c>
      <c r="P93" s="108">
        <f t="shared" si="8"/>
        <v>1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SUMIF(Erfassung6!BD:BD,L94,Erfassung6!BS:BS)</f>
        <v>0</v>
      </c>
      <c r="N94" s="108">
        <f>SUMIF(Erfassung6!BD:BD,L94,Erfassung6!BG:BG)</f>
        <v>0</v>
      </c>
      <c r="O94" s="108">
        <f t="shared" si="7"/>
        <v>0</v>
      </c>
      <c r="P94" s="108">
        <f t="shared" si="8"/>
        <v>1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SUMIF(Erfassung6!BD:BD,L95,Erfassung6!BS:BS)</f>
        <v>0</v>
      </c>
      <c r="N95" s="108">
        <f>SUMIF(Erfassung6!BD:BD,L95,Erfassung6!BG:BG)</f>
        <v>0</v>
      </c>
      <c r="O95" s="108">
        <f t="shared" si="7"/>
        <v>0</v>
      </c>
      <c r="P95" s="108">
        <f t="shared" si="8"/>
        <v>1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SUMIF(Erfassung6!BD:BD,L96,Erfassung6!BS:BS)</f>
        <v>0</v>
      </c>
      <c r="N96" s="108">
        <f>SUMIF(Erfassung6!BD:BD,L96,Erfassung6!BG:BG)</f>
        <v>0</v>
      </c>
      <c r="O96" s="108">
        <f t="shared" si="7"/>
        <v>0</v>
      </c>
      <c r="P96" s="108">
        <f t="shared" si="8"/>
        <v>1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SUMIF(Erfassung6!BD:BD,L97,Erfassung6!BS:BS)</f>
        <v>0</v>
      </c>
      <c r="N97" s="108">
        <f>SUMIF(Erfassung6!BD:BD,L97,Erfassung6!BG:BG)</f>
        <v>0</v>
      </c>
      <c r="O97" s="108">
        <f t="shared" si="7"/>
        <v>0</v>
      </c>
      <c r="P97" s="108">
        <f t="shared" si="8"/>
        <v>1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SUMIF(Erfassung6!BD:BD,L98,Erfassung6!BS:BS)</f>
        <v>0</v>
      </c>
      <c r="N98" s="108">
        <f>SUMIF(Erfassung6!BD:BD,L98,Erfassung6!BG:BG)</f>
        <v>0</v>
      </c>
      <c r="O98" s="108">
        <f t="shared" si="7"/>
        <v>0</v>
      </c>
      <c r="P98" s="108">
        <f t="shared" si="8"/>
        <v>1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SUMIF(Erfassung6!BD:BD,L99,Erfassung6!BS:BS)</f>
        <v>0</v>
      </c>
      <c r="N99" s="108">
        <f>SUMIF(Erfassung6!BD:BD,L99,Erfassung6!BG:BG)</f>
        <v>0</v>
      </c>
      <c r="O99" s="108">
        <f t="shared" si="7"/>
        <v>0</v>
      </c>
      <c r="P99" s="108">
        <f t="shared" si="8"/>
        <v>1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SUMIF(Erfassung6!BD:BD,L100,Erfassung6!BS:BS)</f>
        <v>0</v>
      </c>
      <c r="N100" s="108">
        <f>SUMIF(Erfassung6!BD:BD,L100,Erfassung6!BG:BG)</f>
        <v>0</v>
      </c>
      <c r="O100" s="108">
        <f t="shared" si="7"/>
        <v>0</v>
      </c>
      <c r="P100" s="108">
        <f t="shared" si="8"/>
        <v>1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SUMIF(Erfassung6!BD:BD,L101,Erfassung6!BS:BS)</f>
        <v>0</v>
      </c>
      <c r="N101" s="108">
        <f>SUMIF(Erfassung6!BD:BD,L101,Erfassung6!BG:BG)</f>
        <v>0</v>
      </c>
      <c r="O101" s="108">
        <f t="shared" si="7"/>
        <v>0</v>
      </c>
      <c r="P101" s="108">
        <f t="shared" si="8"/>
        <v>1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SUMIF(Erfassung6!BD:BD,L102,Erfassung6!BS:BS)</f>
        <v>0</v>
      </c>
      <c r="N102" s="108">
        <f>SUMIF(Erfassung6!BD:BD,L102,Erfassung6!BG:BG)</f>
        <v>0</v>
      </c>
      <c r="O102" s="108">
        <f t="shared" si="7"/>
        <v>0</v>
      </c>
      <c r="P102" s="108">
        <f t="shared" si="8"/>
        <v>1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SUMIF(Erfassung6!BD:BD,L103,Erfassung6!BS:BS)</f>
        <v>0</v>
      </c>
      <c r="N103" s="108">
        <f>SUMIF(Erfassung6!BD:BD,L103,Erfassung6!BG:BG)</f>
        <v>0</v>
      </c>
      <c r="O103" s="108">
        <f t="shared" si="7"/>
        <v>0</v>
      </c>
      <c r="P103" s="108">
        <f t="shared" si="8"/>
        <v>1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SUMIF(Erfassung6!BD:BD,L104,Erfassung6!BS:BS)</f>
        <v>0</v>
      </c>
      <c r="N104" s="108">
        <f>SUMIF(Erfassung6!BD:BD,L104,Erfassung6!BG:BG)</f>
        <v>0</v>
      </c>
      <c r="O104" s="108">
        <f t="shared" si="7"/>
        <v>0</v>
      </c>
      <c r="P104" s="108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583F-C981-4511-A7E6-FBDE43755C9F}">
  <sheetPr>
    <tabColor rgb="FF7030A0"/>
    <pageSetUpPr fitToPage="1"/>
  </sheetPr>
  <dimension ref="A1:P104"/>
  <sheetViews>
    <sheetView view="pageBreakPreview" zoomScaleNormal="100" zoomScaleSheetLayoutView="100" workbookViewId="0">
      <selection activeCell="O12" sqref="O12"/>
    </sheetView>
  </sheetViews>
  <sheetFormatPr baseColWidth="10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92" customWidth="1"/>
    <col min="6" max="6" width="7.7109375" customWidth="1"/>
    <col min="7" max="7" width="7.7109375" style="169" customWidth="1"/>
    <col min="11" max="11" width="11.42578125" customWidth="1"/>
    <col min="12" max="12" width="11.42578125" style="108" hidden="1" customWidth="1"/>
    <col min="13" max="16" width="11.42578125" hidden="1" customWidth="1"/>
    <col min="17" max="20" width="11.42578125" customWidth="1"/>
  </cols>
  <sheetData>
    <row r="1" spans="1:16" ht="28.5" customHeight="1" x14ac:dyDescent="0.4">
      <c r="A1" s="87" t="s">
        <v>1785</v>
      </c>
      <c r="C1" s="160" t="str">
        <f>Schlüssel!$C$1</f>
        <v>Bezirksliga N1 Männer</v>
      </c>
      <c r="D1" s="161"/>
      <c r="E1" s="168"/>
      <c r="F1" s="161"/>
      <c r="L1" s="108" t="s">
        <v>1814</v>
      </c>
      <c r="M1" t="s">
        <v>1799</v>
      </c>
      <c r="N1" t="s">
        <v>1819</v>
      </c>
      <c r="O1" t="s">
        <v>1805</v>
      </c>
      <c r="P1" t="s">
        <v>1820</v>
      </c>
    </row>
    <row r="2" spans="1:16" ht="28.5" customHeight="1" x14ac:dyDescent="0.3">
      <c r="A2" s="170" t="s">
        <v>1784</v>
      </c>
      <c r="C2" s="28">
        <v>6</v>
      </c>
      <c r="D2" s="28" t="s">
        <v>1864</v>
      </c>
      <c r="E2" s="171"/>
      <c r="F2" s="172"/>
      <c r="L2" s="108">
        <f>INDEX(Starter!A:A,ROW()-1)</f>
        <v>7136</v>
      </c>
      <c r="M2">
        <f>INDEX(SchnittGes5!M:M,MATCH(L2,SchnittGes5!L:L,0))+INDEX(Schnitt6!M:M,MATCH(L2,Schnitt6!L:L,0))</f>
        <v>2621</v>
      </c>
      <c r="N2">
        <f>INDEX(SchnittGes5!N:N,MATCH(L2,SchnittGes5!L:L,0))+INDEX(Schnitt6!N:N,MATCH(L2,Schnitt6!L:L,0))</f>
        <v>15</v>
      </c>
      <c r="O2">
        <f t="shared" ref="O2:O65" si="0">IF(N2=0,0,M2/N2-ROW()/1000000000)</f>
        <v>174.73333333133331</v>
      </c>
      <c r="P2">
        <f t="shared" ref="P2:P65" si="1">RANK(O2,O:O)</f>
        <v>21</v>
      </c>
    </row>
    <row r="3" spans="1:16" x14ac:dyDescent="0.2">
      <c r="L3" s="108">
        <f>INDEX(Starter!A:A,ROW()-1)</f>
        <v>7123</v>
      </c>
      <c r="M3">
        <f>INDEX(SchnittGes5!M:M,MATCH(L3,SchnittGes5!L:L,0))+INDEX(Schnitt6!M:M,MATCH(L3,Schnitt6!L:L,0))</f>
        <v>3688</v>
      </c>
      <c r="N3">
        <f>INDEX(SchnittGes5!N:N,MATCH(L3,SchnittGes5!L:L,0))+INDEX(Schnitt6!N:N,MATCH(L3,Schnitt6!L:L,0))</f>
        <v>25</v>
      </c>
      <c r="O3">
        <f t="shared" si="0"/>
        <v>147.51999999700001</v>
      </c>
      <c r="P3">
        <f t="shared" si="1"/>
        <v>37</v>
      </c>
    </row>
    <row r="4" spans="1:16" x14ac:dyDescent="0.2">
      <c r="A4" s="128" t="s">
        <v>1822</v>
      </c>
      <c r="B4" s="128" t="s">
        <v>1814</v>
      </c>
      <c r="C4" t="s">
        <v>1797</v>
      </c>
      <c r="D4" t="s">
        <v>1823</v>
      </c>
      <c r="E4" s="173" t="s">
        <v>1799</v>
      </c>
      <c r="F4" s="128" t="s">
        <v>1819</v>
      </c>
      <c r="G4" s="174" t="s">
        <v>1805</v>
      </c>
      <c r="L4" s="108">
        <f>INDEX(Starter!A:A,ROW()-1)</f>
        <v>25479</v>
      </c>
      <c r="M4">
        <f>INDEX(SchnittGes5!M:M,MATCH(L4,SchnittGes5!L:L,0))+INDEX(Schnitt6!M:M,MATCH(L4,Schnitt6!L:L,0))</f>
        <v>3166</v>
      </c>
      <c r="N4">
        <f>INDEX(SchnittGes5!N:N,MATCH(L4,SchnittGes5!L:L,0))+INDEX(Schnitt6!N:N,MATCH(L4,Schnitt6!L:L,0))</f>
        <v>20</v>
      </c>
      <c r="O4">
        <f t="shared" si="0"/>
        <v>158.29999999600003</v>
      </c>
      <c r="P4">
        <f t="shared" si="1"/>
        <v>32</v>
      </c>
    </row>
    <row r="5" spans="1:16" x14ac:dyDescent="0.2">
      <c r="A5">
        <v>1</v>
      </c>
      <c r="B5">
        <f t="shared" ref="B5:B68" si="2">IFERROR(INDEX(L:L,MATCH(A5,P:P,0)),"")</f>
        <v>38046</v>
      </c>
      <c r="C5" t="str">
        <f>IFERROR(INDEX(Starter!B:B,MATCH(B5,Starter!A:A,0)),"")</f>
        <v>Humbs, Martin</v>
      </c>
      <c r="D5" t="str">
        <f>IFERROR(INDEX(Starter!C:C,MATCH(B5,Starter!A:A,0)),"")</f>
        <v>BC Castra Regina Regensburg</v>
      </c>
      <c r="E5" s="92">
        <f t="shared" ref="E5:E68" si="3">IFERROR(INDEX(M:M,MATCH(A5,P:P,0)),"")</f>
        <v>5039</v>
      </c>
      <c r="F5">
        <f t="shared" ref="F5:F68" si="4">IFERROR(INDEX(N:N,MATCH(A5,P:P,0)),"")</f>
        <v>25</v>
      </c>
      <c r="G5" s="169">
        <f t="shared" ref="G5:G68" si="5">IFERROR(INDEX(O:O,MATCH(A5,P:P,0)),"")</f>
        <v>201.55999997800001</v>
      </c>
      <c r="L5" s="108">
        <f>INDEX(Starter!A:A,ROW()-1)</f>
        <v>7128</v>
      </c>
      <c r="M5">
        <f>INDEX(SchnittGes5!M:M,MATCH(L5,SchnittGes5!L:L,0))+INDEX(Schnitt6!M:M,MATCH(L5,Schnitt6!L:L,0))</f>
        <v>2592</v>
      </c>
      <c r="N5">
        <f>INDEX(SchnittGes5!N:N,MATCH(L5,SchnittGes5!L:L,0))+INDEX(Schnitt6!N:N,MATCH(L5,Schnitt6!L:L,0))</f>
        <v>15</v>
      </c>
      <c r="O5">
        <f t="shared" si="0"/>
        <v>172.79999999500001</v>
      </c>
      <c r="P5">
        <f t="shared" si="1"/>
        <v>23</v>
      </c>
    </row>
    <row r="6" spans="1:16" x14ac:dyDescent="0.2">
      <c r="A6">
        <f t="shared" ref="A6:A69" si="6">IFERROR(IF(A5+1&gt;MAX(P:P)-1,"",A5+1),"")</f>
        <v>2</v>
      </c>
      <c r="B6">
        <f t="shared" si="2"/>
        <v>7126</v>
      </c>
      <c r="C6" t="str">
        <f>IFERROR(INDEX(Starter!B:B,MATCH(B6,Starter!A:A,0)),"")</f>
        <v>Wülfert, Frank</v>
      </c>
      <c r="D6" t="str">
        <f>IFERROR(INDEX(Starter!C:C,MATCH(B6,Starter!A:A,0)),"")</f>
        <v>Kings Club Bayreuth</v>
      </c>
      <c r="E6" s="92">
        <f t="shared" si="3"/>
        <v>960</v>
      </c>
      <c r="F6">
        <f t="shared" si="4"/>
        <v>5</v>
      </c>
      <c r="G6" s="169">
        <f t="shared" si="5"/>
        <v>191.99999995499999</v>
      </c>
      <c r="L6" s="108">
        <f>INDEX(Starter!A:A,ROW()-1)</f>
        <v>38507</v>
      </c>
      <c r="M6">
        <f>INDEX(SchnittGes5!M:M,MATCH(L6,SchnittGes5!L:L,0))+INDEX(Schnitt6!M:M,MATCH(L6,Schnitt6!L:L,0))</f>
        <v>444</v>
      </c>
      <c r="N6">
        <f>INDEX(SchnittGes5!N:N,MATCH(L6,SchnittGes5!L:L,0))+INDEX(Schnitt6!N:N,MATCH(L6,Schnitt6!L:L,0))</f>
        <v>3</v>
      </c>
      <c r="O6">
        <f t="shared" si="0"/>
        <v>147.99999999400001</v>
      </c>
      <c r="P6">
        <f t="shared" si="1"/>
        <v>36</v>
      </c>
    </row>
    <row r="7" spans="1:16" x14ac:dyDescent="0.2">
      <c r="A7">
        <f t="shared" si="6"/>
        <v>3</v>
      </c>
      <c r="B7">
        <f t="shared" si="2"/>
        <v>38260</v>
      </c>
      <c r="C7" t="str">
        <f>IFERROR(INDEX(Starter!B:B,MATCH(B7,Starter!A:A,0)),"")</f>
        <v>Zehendner, Lukas</v>
      </c>
      <c r="D7" t="str">
        <f>IFERROR(INDEX(Starter!C:C,MATCH(B7,Starter!A:A,0)),"")</f>
        <v>BC Castra Regina Regensburg</v>
      </c>
      <c r="E7" s="92">
        <f t="shared" si="3"/>
        <v>949</v>
      </c>
      <c r="F7">
        <f t="shared" si="4"/>
        <v>5</v>
      </c>
      <c r="G7" s="169">
        <f t="shared" si="5"/>
        <v>189.799999966</v>
      </c>
      <c r="L7" s="108">
        <f>INDEX(Starter!A:A,ROW()-1)</f>
        <v>38115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39</v>
      </c>
    </row>
    <row r="8" spans="1:16" x14ac:dyDescent="0.2">
      <c r="A8">
        <f t="shared" si="6"/>
        <v>4</v>
      </c>
      <c r="B8">
        <f t="shared" si="2"/>
        <v>38571</v>
      </c>
      <c r="C8" t="str">
        <f>IFERROR(INDEX(Starter!B:B,MATCH(B8,Starter!A:A,0)),"")</f>
        <v>Simon, Steven</v>
      </c>
      <c r="D8" t="str">
        <f>IFERROR(INDEX(Starter!C:C,MATCH(B8,Starter!A:A,0)),"")</f>
        <v>BC Castra Regina Regensburg</v>
      </c>
      <c r="E8" s="92">
        <f t="shared" si="3"/>
        <v>3202</v>
      </c>
      <c r="F8">
        <f t="shared" si="4"/>
        <v>17</v>
      </c>
      <c r="G8" s="169">
        <f t="shared" si="5"/>
        <v>188.35294115347057</v>
      </c>
      <c r="L8" s="108">
        <f>INDEX(Starter!A:A,ROW()-1)</f>
        <v>7586</v>
      </c>
      <c r="M8">
        <f>INDEX(SchnittGes5!M:M,MATCH(L8,SchnittGes5!L:L,0))+INDEX(Schnitt6!M:M,MATCH(L8,Schnitt6!L:L,0))</f>
        <v>4507</v>
      </c>
      <c r="N8">
        <f>INDEX(SchnittGes5!N:N,MATCH(L8,SchnittGes5!L:L,0))+INDEX(Schnitt6!N:N,MATCH(L8,Schnitt6!L:L,0))</f>
        <v>25</v>
      </c>
      <c r="O8">
        <f t="shared" si="0"/>
        <v>180.279999992</v>
      </c>
      <c r="P8">
        <f t="shared" si="1"/>
        <v>14</v>
      </c>
    </row>
    <row r="9" spans="1:16" x14ac:dyDescent="0.2">
      <c r="A9">
        <f t="shared" si="6"/>
        <v>5</v>
      </c>
      <c r="B9">
        <f t="shared" si="2"/>
        <v>25760</v>
      </c>
      <c r="C9" t="str">
        <f>IFERROR(INDEX(Starter!B:B,MATCH(B9,Starter!A:A,0)),"")</f>
        <v>Inkermann, Matthias</v>
      </c>
      <c r="D9" t="str">
        <f>IFERROR(INDEX(Starter!C:C,MATCH(B9,Starter!A:A,0)),"")</f>
        <v>BC Herzogenaurach</v>
      </c>
      <c r="E9" s="92">
        <f t="shared" si="3"/>
        <v>4704</v>
      </c>
      <c r="F9">
        <f t="shared" si="4"/>
        <v>25</v>
      </c>
      <c r="G9" s="169">
        <f t="shared" si="5"/>
        <v>188.159999957</v>
      </c>
      <c r="L9" s="108">
        <f>INDEX(Starter!A:A,ROW()-1)</f>
        <v>9936</v>
      </c>
      <c r="M9">
        <f>INDEX(SchnittGes5!M:M,MATCH(L9,SchnittGes5!L:L,0))+INDEX(Schnitt6!M:M,MATCH(L9,Schnitt6!L:L,0))</f>
        <v>3678</v>
      </c>
      <c r="N9">
        <f>INDEX(SchnittGes5!N:N,MATCH(L9,SchnittGes5!L:L,0))+INDEX(Schnitt6!N:N,MATCH(L9,Schnitt6!L:L,0))</f>
        <v>20</v>
      </c>
      <c r="O9">
        <f t="shared" si="0"/>
        <v>183.89999999100002</v>
      </c>
      <c r="P9">
        <f t="shared" si="1"/>
        <v>9</v>
      </c>
    </row>
    <row r="10" spans="1:16" x14ac:dyDescent="0.2">
      <c r="A10">
        <f t="shared" si="6"/>
        <v>6</v>
      </c>
      <c r="B10">
        <f t="shared" si="2"/>
        <v>7814</v>
      </c>
      <c r="C10" t="str">
        <f>IFERROR(INDEX(Starter!B:B,MATCH(B10,Starter!A:A,0)),"")</f>
        <v>Kauscher, Bernhard</v>
      </c>
      <c r="D10" t="str">
        <f>IFERROR(INDEX(Starter!C:C,MATCH(B10,Starter!A:A,0)),"")</f>
        <v>BC Castra Regina Regensburg</v>
      </c>
      <c r="E10" s="92">
        <f t="shared" si="3"/>
        <v>1881</v>
      </c>
      <c r="F10">
        <f t="shared" si="4"/>
        <v>10</v>
      </c>
      <c r="G10" s="169">
        <f t="shared" si="5"/>
        <v>188.09999997399999</v>
      </c>
      <c r="L10" s="108">
        <f>INDEX(Starter!A:A,ROW()-1)</f>
        <v>7135</v>
      </c>
      <c r="M10">
        <f>INDEX(SchnittGes5!M:M,MATCH(L10,SchnittGes5!L:L,0))+INDEX(Schnitt6!M:M,MATCH(L10,Schnitt6!L:L,0))</f>
        <v>914</v>
      </c>
      <c r="N10">
        <f>INDEX(SchnittGes5!N:N,MATCH(L10,SchnittGes5!L:L,0))+INDEX(Schnitt6!N:N,MATCH(L10,Schnitt6!L:L,0))</f>
        <v>5</v>
      </c>
      <c r="O10">
        <f t="shared" si="0"/>
        <v>182.79999999</v>
      </c>
      <c r="P10">
        <f t="shared" si="1"/>
        <v>12</v>
      </c>
    </row>
    <row r="11" spans="1:16" x14ac:dyDescent="0.2">
      <c r="A11">
        <f t="shared" si="6"/>
        <v>7</v>
      </c>
      <c r="B11">
        <f t="shared" si="2"/>
        <v>25723</v>
      </c>
      <c r="C11" t="str">
        <f>IFERROR(INDEX(Starter!B:B,MATCH(B11,Starter!A:A,0)),"")</f>
        <v>Bothe, Thomas</v>
      </c>
      <c r="D11" t="str">
        <f>IFERROR(INDEX(Starter!C:C,MATCH(B11,Starter!A:A,0)),"")</f>
        <v>BC Castra Regina Regensburg</v>
      </c>
      <c r="E11" s="92">
        <f t="shared" si="3"/>
        <v>1875</v>
      </c>
      <c r="F11">
        <f t="shared" si="4"/>
        <v>10</v>
      </c>
      <c r="G11" s="169">
        <f t="shared" si="5"/>
        <v>187.49999996400001</v>
      </c>
      <c r="L11" s="108">
        <f>INDEX(Starter!A:A,ROW()-1)</f>
        <v>38367</v>
      </c>
      <c r="M11">
        <f>INDEX(SchnittGes5!M:M,MATCH(L11,SchnittGes5!L:L,0))+INDEX(Schnitt6!M:M,MATCH(L11,Schnitt6!L:L,0))</f>
        <v>0</v>
      </c>
      <c r="N11">
        <f>INDEX(SchnittGes5!N:N,MATCH(L11,SchnittGes5!L:L,0))+INDEX(Schnitt6!N:N,MATCH(L11,Schnitt6!L:L,0))</f>
        <v>0</v>
      </c>
      <c r="O11">
        <f t="shared" si="0"/>
        <v>0</v>
      </c>
      <c r="P11">
        <f t="shared" si="1"/>
        <v>39</v>
      </c>
    </row>
    <row r="12" spans="1:16" x14ac:dyDescent="0.2">
      <c r="A12">
        <f t="shared" si="6"/>
        <v>8</v>
      </c>
      <c r="B12">
        <f t="shared" si="2"/>
        <v>7813</v>
      </c>
      <c r="C12" t="str">
        <f>IFERROR(INDEX(Starter!B:B,MATCH(B12,Starter!A:A,0)),"")</f>
        <v>Walzer, Peter</v>
      </c>
      <c r="D12" t="str">
        <f>IFERROR(INDEX(Starter!C:C,MATCH(B12,Starter!A:A,0)),"")</f>
        <v>BC Castra Regina Regensburg</v>
      </c>
      <c r="E12" s="92">
        <f t="shared" si="3"/>
        <v>2616</v>
      </c>
      <c r="F12">
        <f t="shared" si="4"/>
        <v>14</v>
      </c>
      <c r="G12" s="169">
        <f t="shared" si="5"/>
        <v>186.85714283014286</v>
      </c>
      <c r="L12" s="108">
        <f>INDEX(Starter!A:A,ROW()-1)</f>
        <v>38152</v>
      </c>
      <c r="M12">
        <f>INDEX(SchnittGes5!M:M,MATCH(L12,SchnittGes5!L:L,0))+INDEX(Schnitt6!M:M,MATCH(L12,Schnitt6!L:L,0))</f>
        <v>282</v>
      </c>
      <c r="N12">
        <f>INDEX(SchnittGes5!N:N,MATCH(L12,SchnittGes5!L:L,0))+INDEX(Schnitt6!N:N,MATCH(L12,Schnitt6!L:L,0))</f>
        <v>2</v>
      </c>
      <c r="O12">
        <f t="shared" si="0"/>
        <v>140.99999998800001</v>
      </c>
      <c r="P12">
        <f t="shared" si="1"/>
        <v>38</v>
      </c>
    </row>
    <row r="13" spans="1:16" x14ac:dyDescent="0.2">
      <c r="A13">
        <f t="shared" si="6"/>
        <v>9</v>
      </c>
      <c r="B13">
        <f t="shared" si="2"/>
        <v>9936</v>
      </c>
      <c r="C13" t="str">
        <f>IFERROR(INDEX(Starter!B:B,MATCH(B13,Starter!A:A,0)),"")</f>
        <v>Fischer, Nick</v>
      </c>
      <c r="D13" t="str">
        <f>IFERROR(INDEX(Starter!C:C,MATCH(B13,Starter!A:A,0)),"")</f>
        <v>Kings Club Bayreuth</v>
      </c>
      <c r="E13" s="92">
        <f t="shared" si="3"/>
        <v>3678</v>
      </c>
      <c r="F13">
        <f t="shared" si="4"/>
        <v>20</v>
      </c>
      <c r="G13" s="169">
        <f t="shared" si="5"/>
        <v>183.89999999100002</v>
      </c>
      <c r="L13" s="108">
        <f>INDEX(Starter!A:A,ROW()-1)</f>
        <v>25007</v>
      </c>
      <c r="M13">
        <f>INDEX(SchnittGes5!M:M,MATCH(L13,SchnittGes5!L:L,0))+INDEX(Schnitt6!M:M,MATCH(L13,Schnitt6!L:L,0))</f>
        <v>0</v>
      </c>
      <c r="N13">
        <f>INDEX(SchnittGes5!N:N,MATCH(L13,SchnittGes5!L:L,0))+INDEX(Schnitt6!N:N,MATCH(L13,Schnitt6!L:L,0))</f>
        <v>0</v>
      </c>
      <c r="O13">
        <f t="shared" si="0"/>
        <v>0</v>
      </c>
      <c r="P13">
        <f t="shared" si="1"/>
        <v>39</v>
      </c>
    </row>
    <row r="14" spans="1:16" x14ac:dyDescent="0.2">
      <c r="A14">
        <f t="shared" si="6"/>
        <v>10</v>
      </c>
      <c r="B14">
        <f t="shared" si="2"/>
        <v>7816</v>
      </c>
      <c r="C14" t="str">
        <f>IFERROR(INDEX(Starter!B:B,MATCH(B14,Starter!A:A,0)),"")</f>
        <v>Jahre, Steffen</v>
      </c>
      <c r="D14" t="str">
        <f>IFERROR(INDEX(Starter!C:C,MATCH(B14,Starter!A:A,0)),"")</f>
        <v>BC Castra Regina Regensburg</v>
      </c>
      <c r="E14" s="92">
        <f t="shared" si="3"/>
        <v>919</v>
      </c>
      <c r="F14">
        <f t="shared" si="4"/>
        <v>5</v>
      </c>
      <c r="G14" s="169">
        <f t="shared" si="5"/>
        <v>183.799999963</v>
      </c>
      <c r="L14" s="108">
        <f>INDEX(Starter!A:A,ROW()-1)</f>
        <v>38661</v>
      </c>
      <c r="M14">
        <f>INDEX(SchnittGes5!M:M,MATCH(L14,SchnittGes5!L:L,0))+INDEX(Schnitt6!M:M,MATCH(L14,Schnitt6!L:L,0))</f>
        <v>2510</v>
      </c>
      <c r="N14">
        <f>INDEX(SchnittGes5!N:N,MATCH(L14,SchnittGes5!L:L,0))+INDEX(Schnitt6!N:N,MATCH(L14,Schnitt6!L:L,0))</f>
        <v>15</v>
      </c>
      <c r="O14">
        <f t="shared" si="0"/>
        <v>167.33333331933335</v>
      </c>
      <c r="P14">
        <f t="shared" si="1"/>
        <v>27</v>
      </c>
    </row>
    <row r="15" spans="1:16" x14ac:dyDescent="0.2">
      <c r="A15">
        <f t="shared" si="6"/>
        <v>11</v>
      </c>
      <c r="B15">
        <f t="shared" si="2"/>
        <v>25895</v>
      </c>
      <c r="C15" t="str">
        <f>IFERROR(INDEX(Starter!B:B,MATCH(B15,Starter!A:A,0)),"")</f>
        <v>Gilch, Stefan</v>
      </c>
      <c r="D15" t="str">
        <f>IFERROR(INDEX(Starter!C:C,MATCH(B15,Starter!A:A,0)),"")</f>
        <v>BC Castra Regina Regensburg</v>
      </c>
      <c r="E15" s="92">
        <f t="shared" si="3"/>
        <v>2935</v>
      </c>
      <c r="F15">
        <f t="shared" si="4"/>
        <v>16</v>
      </c>
      <c r="G15" s="169">
        <f t="shared" si="5"/>
        <v>183.43749996700001</v>
      </c>
      <c r="L15" s="108">
        <f>INDEX(Starter!A:A,ROW()-1)</f>
        <v>34393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0"/>
        <v>0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7135</v>
      </c>
      <c r="C16" t="str">
        <f>IFERROR(INDEX(Starter!B:B,MATCH(B16,Starter!A:A,0)),"")</f>
        <v>Franke, Guido</v>
      </c>
      <c r="D16" t="str">
        <f>IFERROR(INDEX(Starter!C:C,MATCH(B16,Starter!A:A,0)),"")</f>
        <v>Kings Club Bayreuth</v>
      </c>
      <c r="E16" s="92">
        <f t="shared" si="3"/>
        <v>914</v>
      </c>
      <c r="F16">
        <f t="shared" si="4"/>
        <v>5</v>
      </c>
      <c r="G16" s="169">
        <f t="shared" si="5"/>
        <v>182.79999999</v>
      </c>
      <c r="L16" s="108">
        <f>INDEX(Starter!A:A,ROW()-1)</f>
        <v>38823</v>
      </c>
      <c r="M16">
        <f>INDEX(SchnittGes5!M:M,MATCH(L16,SchnittGes5!L:L,0))+INDEX(Schnitt6!M:M,MATCH(L16,Schnitt6!L:L,0))</f>
        <v>4230</v>
      </c>
      <c r="N16">
        <f>INDEX(SchnittGes5!N:N,MATCH(L16,SchnittGes5!L:L,0))+INDEX(Schnitt6!N:N,MATCH(L16,Schnitt6!L:L,0))</f>
        <v>25</v>
      </c>
      <c r="O16">
        <f t="shared" si="0"/>
        <v>169.19999998399999</v>
      </c>
      <c r="P16">
        <f t="shared" si="1"/>
        <v>26</v>
      </c>
    </row>
    <row r="17" spans="1:16" x14ac:dyDescent="0.2">
      <c r="A17">
        <f t="shared" si="6"/>
        <v>13</v>
      </c>
      <c r="B17">
        <f t="shared" si="2"/>
        <v>25130</v>
      </c>
      <c r="C17" t="str">
        <f>IFERROR(INDEX(Starter!B:B,MATCH(B17,Starter!A:A,0)),"")</f>
        <v>Aumeier, Bernhard</v>
      </c>
      <c r="D17" t="str">
        <f>IFERROR(INDEX(Starter!C:C,MATCH(B17,Starter!A:A,0)),"")</f>
        <v>BC Castra Regina Regensburg</v>
      </c>
      <c r="E17" s="92">
        <f t="shared" si="3"/>
        <v>3065</v>
      </c>
      <c r="F17">
        <f t="shared" si="4"/>
        <v>17</v>
      </c>
      <c r="G17" s="169">
        <f t="shared" si="5"/>
        <v>180.29411761805881</v>
      </c>
      <c r="L17" s="108">
        <f>INDEX(Starter!A:A,ROW()-1)</f>
        <v>38509</v>
      </c>
      <c r="M17">
        <f>INDEX(SchnittGes5!M:M,MATCH(L17,SchnittGes5!L:L,0))+INDEX(Schnitt6!M:M,MATCH(L17,Schnitt6!L:L,0))</f>
        <v>4113</v>
      </c>
      <c r="N17">
        <f>INDEX(SchnittGes5!N:N,MATCH(L17,SchnittGes5!L:L,0))+INDEX(Schnitt6!N:N,MATCH(L17,Schnitt6!L:L,0))</f>
        <v>25</v>
      </c>
      <c r="O17">
        <f t="shared" si="0"/>
        <v>164.51999998300002</v>
      </c>
      <c r="P17">
        <f t="shared" si="1"/>
        <v>30</v>
      </c>
    </row>
    <row r="18" spans="1:16" x14ac:dyDescent="0.2">
      <c r="A18">
        <f t="shared" si="6"/>
        <v>14</v>
      </c>
      <c r="B18">
        <f t="shared" si="2"/>
        <v>7586</v>
      </c>
      <c r="C18" t="str">
        <f>IFERROR(INDEX(Starter!B:B,MATCH(B18,Starter!A:A,0)),"")</f>
        <v>Eichner, Karl</v>
      </c>
      <c r="D18" t="str">
        <f>IFERROR(INDEX(Starter!C:C,MATCH(B18,Starter!A:A,0)),"")</f>
        <v>Kings Club Bayreuth</v>
      </c>
      <c r="E18" s="92">
        <f t="shared" si="3"/>
        <v>4507</v>
      </c>
      <c r="F18">
        <f t="shared" si="4"/>
        <v>25</v>
      </c>
      <c r="G18" s="169">
        <f t="shared" si="5"/>
        <v>180.279999992</v>
      </c>
      <c r="L18" s="108">
        <f>INDEX(Starter!A:A,ROW()-1)</f>
        <v>7282</v>
      </c>
      <c r="M18">
        <f>INDEX(SchnittGes5!M:M,MATCH(L18,SchnittGes5!L:L,0))+INDEX(Schnitt6!M:M,MATCH(L18,Schnitt6!L:L,0))</f>
        <v>2699</v>
      </c>
      <c r="N18">
        <f>INDEX(SchnittGes5!N:N,MATCH(L18,SchnittGes5!L:L,0))+INDEX(Schnitt6!N:N,MATCH(L18,Schnitt6!L:L,0))</f>
        <v>15</v>
      </c>
      <c r="O18">
        <f t="shared" si="0"/>
        <v>179.93333331533333</v>
      </c>
      <c r="P18">
        <f t="shared" si="1"/>
        <v>15</v>
      </c>
    </row>
    <row r="19" spans="1:16" x14ac:dyDescent="0.2">
      <c r="A19">
        <f t="shared" si="6"/>
        <v>15</v>
      </c>
      <c r="B19">
        <f t="shared" si="2"/>
        <v>7282</v>
      </c>
      <c r="C19" t="str">
        <f>IFERROR(INDEX(Starter!B:B,MATCH(B19,Starter!A:A,0)),"")</f>
        <v>Voss, Horst</v>
      </c>
      <c r="D19" t="str">
        <f>IFERROR(INDEX(Starter!C:C,MATCH(B19,Starter!A:A,0)),"")</f>
        <v>BC Herzogenaurach</v>
      </c>
      <c r="E19" s="92">
        <f t="shared" si="3"/>
        <v>2699</v>
      </c>
      <c r="F19">
        <f t="shared" si="4"/>
        <v>15</v>
      </c>
      <c r="G19" s="169">
        <f t="shared" si="5"/>
        <v>179.93333331533333</v>
      </c>
      <c r="L19" s="108">
        <f>INDEX(Starter!A:A,ROW()-1)</f>
        <v>25378</v>
      </c>
      <c r="M19">
        <f>INDEX(SchnittGes5!M:M,MATCH(L19,SchnittGes5!L:L,0))+INDEX(Schnitt6!M:M,MATCH(L19,Schnitt6!L:L,0))</f>
        <v>3174</v>
      </c>
      <c r="N19">
        <f>INDEX(SchnittGes5!N:N,MATCH(L19,SchnittGes5!L:L,0))+INDEX(Schnitt6!N:N,MATCH(L19,Schnitt6!L:L,0))</f>
        <v>18</v>
      </c>
      <c r="O19">
        <f t="shared" si="0"/>
        <v>176.33333331433334</v>
      </c>
      <c r="P19">
        <f t="shared" si="1"/>
        <v>19</v>
      </c>
    </row>
    <row r="20" spans="1:16" x14ac:dyDescent="0.2">
      <c r="A20">
        <f t="shared" si="6"/>
        <v>16</v>
      </c>
      <c r="B20">
        <f t="shared" si="2"/>
        <v>7283</v>
      </c>
      <c r="C20" t="str">
        <f>IFERROR(INDEX(Starter!B:B,MATCH(B20,Starter!A:A,0)),"")</f>
        <v>Pichl, Jürgen</v>
      </c>
      <c r="D20" t="str">
        <f>IFERROR(INDEX(Starter!C:C,MATCH(B20,Starter!A:A,0)),"")</f>
        <v>BC Herzogenaurach</v>
      </c>
      <c r="E20" s="92">
        <f t="shared" si="3"/>
        <v>3589</v>
      </c>
      <c r="F20">
        <f t="shared" si="4"/>
        <v>20</v>
      </c>
      <c r="G20" s="169">
        <f t="shared" si="5"/>
        <v>179.44999997899998</v>
      </c>
      <c r="L20" s="108">
        <f>INDEX(Starter!A:A,ROW()-1)</f>
        <v>7286</v>
      </c>
      <c r="M20">
        <f>INDEX(SchnittGes5!M:M,MATCH(L20,SchnittGes5!L:L,0))+INDEX(Schnitt6!M:M,MATCH(L20,Schnitt6!L:L,0))</f>
        <v>3577</v>
      </c>
      <c r="N20">
        <f>INDEX(SchnittGes5!N:N,MATCH(L20,SchnittGes5!L:L,0))+INDEX(Schnitt6!N:N,MATCH(L20,Schnitt6!L:L,0))</f>
        <v>20</v>
      </c>
      <c r="O20">
        <f t="shared" si="0"/>
        <v>178.84999998000001</v>
      </c>
      <c r="P20">
        <f t="shared" si="1"/>
        <v>17</v>
      </c>
    </row>
    <row r="21" spans="1:16" x14ac:dyDescent="0.2">
      <c r="A21">
        <f t="shared" si="6"/>
        <v>17</v>
      </c>
      <c r="B21">
        <f t="shared" si="2"/>
        <v>7286</v>
      </c>
      <c r="C21" t="str">
        <f>IFERROR(INDEX(Starter!B:B,MATCH(B21,Starter!A:A,0)),"")</f>
        <v>Meier, Peter</v>
      </c>
      <c r="D21" t="str">
        <f>IFERROR(INDEX(Starter!C:C,MATCH(B21,Starter!A:A,0)),"")</f>
        <v>BC Herzogenaurach</v>
      </c>
      <c r="E21" s="92">
        <f t="shared" si="3"/>
        <v>3577</v>
      </c>
      <c r="F21">
        <f t="shared" si="4"/>
        <v>20</v>
      </c>
      <c r="G21" s="169">
        <f t="shared" si="5"/>
        <v>178.84999998000001</v>
      </c>
      <c r="L21" s="108">
        <f>INDEX(Starter!A:A,ROW()-1)</f>
        <v>7283</v>
      </c>
      <c r="M21">
        <f>INDEX(SchnittGes5!M:M,MATCH(L21,SchnittGes5!L:L,0))+INDEX(Schnitt6!M:M,MATCH(L21,Schnitt6!L:L,0))</f>
        <v>3589</v>
      </c>
      <c r="N21">
        <f>INDEX(SchnittGes5!N:N,MATCH(L21,SchnittGes5!L:L,0))+INDEX(Schnitt6!N:N,MATCH(L21,Schnitt6!L:L,0))</f>
        <v>20</v>
      </c>
      <c r="O21">
        <f t="shared" si="0"/>
        <v>179.44999997899998</v>
      </c>
      <c r="P21">
        <f t="shared" si="1"/>
        <v>16</v>
      </c>
    </row>
    <row r="22" spans="1:16" x14ac:dyDescent="0.2">
      <c r="A22">
        <f t="shared" si="6"/>
        <v>18</v>
      </c>
      <c r="B22">
        <f t="shared" si="2"/>
        <v>16707</v>
      </c>
      <c r="C22" t="str">
        <f>IFERROR(INDEX(Starter!B:B,MATCH(B22,Starter!A:A,0)),"")</f>
        <v>Beier, Thomas</v>
      </c>
      <c r="D22" t="str">
        <f>IFERROR(INDEX(Starter!C:C,MATCH(B22,Starter!A:A,0)),"")</f>
        <v>BC Adler Nürnberg</v>
      </c>
      <c r="E22" s="92">
        <f t="shared" si="3"/>
        <v>4448</v>
      </c>
      <c r="F22">
        <f t="shared" si="4"/>
        <v>25</v>
      </c>
      <c r="G22" s="169">
        <f t="shared" si="5"/>
        <v>177.91999995799998</v>
      </c>
      <c r="L22" s="108">
        <f>INDEX(Starter!A:A,ROW()-1)</f>
        <v>38046</v>
      </c>
      <c r="M22">
        <f>INDEX(SchnittGes5!M:M,MATCH(L22,SchnittGes5!L:L,0))+INDEX(Schnitt6!M:M,MATCH(L22,Schnitt6!L:L,0))</f>
        <v>5039</v>
      </c>
      <c r="N22">
        <f>INDEX(SchnittGes5!N:N,MATCH(L22,SchnittGes5!L:L,0))+INDEX(Schnitt6!N:N,MATCH(L22,Schnitt6!L:L,0))</f>
        <v>25</v>
      </c>
      <c r="O22">
        <f t="shared" si="0"/>
        <v>201.55999997800001</v>
      </c>
      <c r="P22">
        <f t="shared" si="1"/>
        <v>1</v>
      </c>
    </row>
    <row r="23" spans="1:16" x14ac:dyDescent="0.2">
      <c r="A23">
        <f t="shared" si="6"/>
        <v>19</v>
      </c>
      <c r="B23">
        <f t="shared" si="2"/>
        <v>25378</v>
      </c>
      <c r="C23" t="str">
        <f>IFERROR(INDEX(Starter!B:B,MATCH(B23,Starter!A:A,0)),"")</f>
        <v>Arnold, Nadine</v>
      </c>
      <c r="D23" t="str">
        <f>IFERROR(INDEX(Starter!C:C,MATCH(B23,Starter!A:A,0)),"")</f>
        <v>BC Herzogenaurach</v>
      </c>
      <c r="E23" s="92">
        <f t="shared" si="3"/>
        <v>3174</v>
      </c>
      <c r="F23">
        <f t="shared" si="4"/>
        <v>18</v>
      </c>
      <c r="G23" s="169">
        <f t="shared" si="5"/>
        <v>176.33333331433334</v>
      </c>
      <c r="L23" s="108">
        <f>INDEX(Starter!A:A,ROW()-1)</f>
        <v>38571</v>
      </c>
      <c r="M23">
        <f>INDEX(SchnittGes5!M:M,MATCH(L23,SchnittGes5!L:L,0))+INDEX(Schnitt6!M:M,MATCH(L23,Schnitt6!L:L,0))</f>
        <v>3202</v>
      </c>
      <c r="N23">
        <f>INDEX(SchnittGes5!N:N,MATCH(L23,SchnittGes5!L:L,0))+INDEX(Schnitt6!N:N,MATCH(L23,Schnitt6!L:L,0))</f>
        <v>17</v>
      </c>
      <c r="O23">
        <f t="shared" si="0"/>
        <v>188.35294115347057</v>
      </c>
      <c r="P23">
        <f t="shared" si="1"/>
        <v>4</v>
      </c>
    </row>
    <row r="24" spans="1:16" x14ac:dyDescent="0.2">
      <c r="A24">
        <f t="shared" si="6"/>
        <v>20</v>
      </c>
      <c r="B24">
        <f t="shared" si="2"/>
        <v>7714</v>
      </c>
      <c r="C24" t="str">
        <f>IFERROR(INDEX(Starter!B:B,MATCH(B24,Starter!A:A,0)),"")</f>
        <v>Doßler, Thomas</v>
      </c>
      <c r="D24" t="str">
        <f>IFERROR(INDEX(Starter!C:C,MATCH(B24,Starter!A:A,0)),"")</f>
        <v>BC Adler Nürnberg</v>
      </c>
      <c r="E24" s="92">
        <f t="shared" si="3"/>
        <v>2623</v>
      </c>
      <c r="F24">
        <f t="shared" si="4"/>
        <v>15</v>
      </c>
      <c r="G24" s="169">
        <f t="shared" si="5"/>
        <v>174.86666662766666</v>
      </c>
      <c r="L24" s="108">
        <f>INDEX(Starter!A:A,ROW()-1)</f>
        <v>38870</v>
      </c>
      <c r="M24">
        <f>INDEX(SchnittGes5!M:M,MATCH(L24,SchnittGes5!L:L,0))+INDEX(Schnitt6!M:M,MATCH(L24,Schnitt6!L:L,0))</f>
        <v>4070</v>
      </c>
      <c r="N24">
        <f>INDEX(SchnittGes5!N:N,MATCH(L24,SchnittGes5!L:L,0))+INDEX(Schnitt6!N:N,MATCH(L24,Schnitt6!L:L,0))</f>
        <v>25</v>
      </c>
      <c r="O24">
        <f t="shared" si="0"/>
        <v>162.79999997600001</v>
      </c>
      <c r="P24">
        <f t="shared" si="1"/>
        <v>31</v>
      </c>
    </row>
    <row r="25" spans="1:16" x14ac:dyDescent="0.2">
      <c r="A25">
        <f t="shared" si="6"/>
        <v>21</v>
      </c>
      <c r="B25">
        <f t="shared" si="2"/>
        <v>7136</v>
      </c>
      <c r="C25" t="str">
        <f>IFERROR(INDEX(Starter!B:B,MATCH(B25,Starter!A:A,0)),"")</f>
        <v>Rühr, Wilfried</v>
      </c>
      <c r="D25" t="str">
        <f>IFERROR(INDEX(Starter!C:C,MATCH(B25,Starter!A:A,0)),"")</f>
        <v>Kings Club Bayreuth</v>
      </c>
      <c r="E25" s="92">
        <f t="shared" si="3"/>
        <v>2621</v>
      </c>
      <c r="F25">
        <f t="shared" si="4"/>
        <v>15</v>
      </c>
      <c r="G25" s="169">
        <f t="shared" si="5"/>
        <v>174.73333333133331</v>
      </c>
      <c r="L25" s="108">
        <f>INDEX(Starter!A:A,ROW()-1)</f>
        <v>7809</v>
      </c>
      <c r="M25">
        <f>INDEX(SchnittGes5!M:M,MATCH(L25,SchnittGes5!L:L,0))+INDEX(Schnitt6!M:M,MATCH(L25,Schnitt6!L:L,0))</f>
        <v>313</v>
      </c>
      <c r="N25">
        <f>INDEX(SchnittGes5!N:N,MATCH(L25,SchnittGes5!L:L,0))+INDEX(Schnitt6!N:N,MATCH(L25,Schnitt6!L:L,0))</f>
        <v>2</v>
      </c>
      <c r="O25">
        <f t="shared" si="0"/>
        <v>156.49999997500001</v>
      </c>
      <c r="P25">
        <f t="shared" si="1"/>
        <v>33</v>
      </c>
    </row>
    <row r="26" spans="1:16" x14ac:dyDescent="0.2">
      <c r="A26">
        <f t="shared" si="6"/>
        <v>22</v>
      </c>
      <c r="B26">
        <f t="shared" si="2"/>
        <v>25811</v>
      </c>
      <c r="C26" t="str">
        <f>IFERROR(INDEX(Starter!B:B,MATCH(B26,Starter!A:A,0)),"")</f>
        <v>Schmelzl, Werner</v>
      </c>
      <c r="D26" t="str">
        <f>IFERROR(INDEX(Starter!C:C,MATCH(B26,Starter!A:A,0)),"")</f>
        <v>BC Adler Nürnberg</v>
      </c>
      <c r="E26" s="92">
        <f t="shared" si="3"/>
        <v>4325</v>
      </c>
      <c r="F26">
        <f t="shared" si="4"/>
        <v>25</v>
      </c>
      <c r="G26" s="169">
        <f t="shared" si="5"/>
        <v>172.99999996</v>
      </c>
      <c r="L26" s="108">
        <f>INDEX(Starter!A:A,ROW()-1)</f>
        <v>7814</v>
      </c>
      <c r="M26">
        <f>INDEX(SchnittGes5!M:M,MATCH(L26,SchnittGes5!L:L,0))+INDEX(Schnitt6!M:M,MATCH(L26,Schnitt6!L:L,0))</f>
        <v>1881</v>
      </c>
      <c r="N26">
        <f>INDEX(SchnittGes5!N:N,MATCH(L26,SchnittGes5!L:L,0))+INDEX(Schnitt6!N:N,MATCH(L26,Schnitt6!L:L,0))</f>
        <v>10</v>
      </c>
      <c r="O26">
        <f t="shared" si="0"/>
        <v>188.09999997399999</v>
      </c>
      <c r="P26">
        <f t="shared" si="1"/>
        <v>6</v>
      </c>
    </row>
    <row r="27" spans="1:16" x14ac:dyDescent="0.2">
      <c r="A27">
        <f t="shared" si="6"/>
        <v>23</v>
      </c>
      <c r="B27">
        <f t="shared" si="2"/>
        <v>7128</v>
      </c>
      <c r="C27" t="str">
        <f>IFERROR(INDEX(Starter!B:B,MATCH(B27,Starter!A:A,0)),"")</f>
        <v>Wallner, Harald</v>
      </c>
      <c r="D27" t="str">
        <f>IFERROR(INDEX(Starter!C:C,MATCH(B27,Starter!A:A,0)),"")</f>
        <v>Kings Club Bayreuth</v>
      </c>
      <c r="E27" s="92">
        <f t="shared" si="3"/>
        <v>2592</v>
      </c>
      <c r="F27">
        <f t="shared" si="4"/>
        <v>15</v>
      </c>
      <c r="G27" s="169">
        <f t="shared" si="5"/>
        <v>172.79999999500001</v>
      </c>
      <c r="L27" s="108">
        <f>INDEX(Starter!A:A,ROW()-1)</f>
        <v>7813</v>
      </c>
      <c r="M27">
        <f>INDEX(SchnittGes5!M:M,MATCH(L27,SchnittGes5!L:L,0))+INDEX(Schnitt6!M:M,MATCH(L27,Schnitt6!L:L,0))</f>
        <v>2616</v>
      </c>
      <c r="N27">
        <f>INDEX(SchnittGes5!N:N,MATCH(L27,SchnittGes5!L:L,0))+INDEX(Schnitt6!N:N,MATCH(L27,Schnitt6!L:L,0))</f>
        <v>14</v>
      </c>
      <c r="O27">
        <f t="shared" si="0"/>
        <v>186.85714283014286</v>
      </c>
      <c r="P27">
        <f t="shared" si="1"/>
        <v>8</v>
      </c>
    </row>
    <row r="28" spans="1:16" x14ac:dyDescent="0.2">
      <c r="A28">
        <f t="shared" si="6"/>
        <v>24</v>
      </c>
      <c r="B28">
        <f t="shared" si="2"/>
        <v>7849</v>
      </c>
      <c r="C28" t="str">
        <f>IFERROR(INDEX(Starter!B:B,MATCH(B28,Starter!A:A,0)),"")</f>
        <v>Stibel, Blasius</v>
      </c>
      <c r="D28" t="str">
        <f>IFERROR(INDEX(Starter!C:C,MATCH(B28,Starter!A:A,0)),"")</f>
        <v>BC Castra Regina Regensburg</v>
      </c>
      <c r="E28" s="92">
        <f t="shared" si="3"/>
        <v>3426</v>
      </c>
      <c r="F28">
        <f t="shared" si="4"/>
        <v>20</v>
      </c>
      <c r="G28" s="169">
        <f t="shared" si="5"/>
        <v>171.299999969</v>
      </c>
      <c r="L28" s="108">
        <f>INDEX(Starter!A:A,ROW()-1)</f>
        <v>7730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0"/>
        <v>0</v>
      </c>
      <c r="P28">
        <f t="shared" si="1"/>
        <v>39</v>
      </c>
    </row>
    <row r="29" spans="1:16" x14ac:dyDescent="0.2">
      <c r="A29">
        <f t="shared" si="6"/>
        <v>25</v>
      </c>
      <c r="B29">
        <f t="shared" si="2"/>
        <v>38570</v>
      </c>
      <c r="C29" t="str">
        <f>IFERROR(INDEX(Starter!B:B,MATCH(B29,Starter!A:A,0)),"")</f>
        <v>Bothe, Willi</v>
      </c>
      <c r="D29" t="str">
        <f>IFERROR(INDEX(Starter!C:C,MATCH(B29,Starter!A:A,0)),"")</f>
        <v>BC Castra Regina Regensburg</v>
      </c>
      <c r="E29" s="92">
        <f t="shared" si="3"/>
        <v>3049</v>
      </c>
      <c r="F29">
        <f t="shared" si="4"/>
        <v>18</v>
      </c>
      <c r="G29" s="169">
        <f t="shared" si="5"/>
        <v>169.38888885388889</v>
      </c>
      <c r="L29" s="108">
        <f>INDEX(Starter!A:A,ROW()-1)</f>
        <v>25130</v>
      </c>
      <c r="M29">
        <f>INDEX(SchnittGes5!M:M,MATCH(L29,SchnittGes5!L:L,0))+INDEX(Schnitt6!M:M,MATCH(L29,Schnitt6!L:L,0))</f>
        <v>3065</v>
      </c>
      <c r="N29">
        <f>INDEX(SchnittGes5!N:N,MATCH(L29,SchnittGes5!L:L,0))+INDEX(Schnitt6!N:N,MATCH(L29,Schnitt6!L:L,0))</f>
        <v>17</v>
      </c>
      <c r="O29">
        <f t="shared" si="0"/>
        <v>180.29411761805881</v>
      </c>
      <c r="P29">
        <f t="shared" si="1"/>
        <v>13</v>
      </c>
    </row>
    <row r="30" spans="1:16" x14ac:dyDescent="0.2">
      <c r="A30">
        <f t="shared" si="6"/>
        <v>26</v>
      </c>
      <c r="B30">
        <f t="shared" si="2"/>
        <v>38823</v>
      </c>
      <c r="C30" t="str">
        <f>IFERROR(INDEX(Starter!B:B,MATCH(B30,Starter!A:A,0)),"")</f>
        <v>Sommerer, Stefan</v>
      </c>
      <c r="D30" t="str">
        <f>IFERROR(INDEX(Starter!C:C,MATCH(B30,Starter!A:A,0)),"")</f>
        <v>Kings Club Bayreuth</v>
      </c>
      <c r="E30" s="92">
        <f t="shared" si="3"/>
        <v>4230</v>
      </c>
      <c r="F30">
        <f t="shared" si="4"/>
        <v>25</v>
      </c>
      <c r="G30" s="169">
        <f t="shared" si="5"/>
        <v>169.19999998399999</v>
      </c>
      <c r="L30" s="108">
        <f>INDEX(Starter!A:A,ROW()-1)</f>
        <v>7854</v>
      </c>
      <c r="M30">
        <f>INDEX(SchnittGes5!M:M,MATCH(L30,SchnittGes5!L:L,0))+INDEX(Schnitt6!M:M,MATCH(L30,Schnitt6!L:L,0))</f>
        <v>0</v>
      </c>
      <c r="N30">
        <f>INDEX(SchnittGes5!N:N,MATCH(L30,SchnittGes5!L:L,0))+INDEX(Schnitt6!N:N,MATCH(L30,Schnitt6!L:L,0))</f>
        <v>0</v>
      </c>
      <c r="O30">
        <f t="shared" si="0"/>
        <v>0</v>
      </c>
      <c r="P30">
        <f t="shared" si="1"/>
        <v>39</v>
      </c>
    </row>
    <row r="31" spans="1:16" x14ac:dyDescent="0.2">
      <c r="A31">
        <f t="shared" si="6"/>
        <v>27</v>
      </c>
      <c r="B31">
        <f t="shared" si="2"/>
        <v>38661</v>
      </c>
      <c r="C31" t="str">
        <f>IFERROR(INDEX(Starter!B:B,MATCH(B31,Starter!A:A,0)),"")</f>
        <v>Katholing, Jürgen</v>
      </c>
      <c r="D31" t="str">
        <f>IFERROR(INDEX(Starter!C:C,MATCH(B31,Starter!A:A,0)),"")</f>
        <v>Kings Club Bayreuth</v>
      </c>
      <c r="E31" s="92">
        <f t="shared" si="3"/>
        <v>2510</v>
      </c>
      <c r="F31">
        <f t="shared" si="4"/>
        <v>15</v>
      </c>
      <c r="G31" s="169">
        <f t="shared" si="5"/>
        <v>167.33333331933335</v>
      </c>
      <c r="L31" s="108">
        <f>INDEX(Starter!A:A,ROW()-1)</f>
        <v>7849</v>
      </c>
      <c r="M31">
        <f>INDEX(SchnittGes5!M:M,MATCH(L31,SchnittGes5!L:L,0))+INDEX(Schnitt6!M:M,MATCH(L31,Schnitt6!L:L,0))</f>
        <v>3426</v>
      </c>
      <c r="N31">
        <f>INDEX(SchnittGes5!N:N,MATCH(L31,SchnittGes5!L:L,0))+INDEX(Schnitt6!N:N,MATCH(L31,Schnitt6!L:L,0))</f>
        <v>20</v>
      </c>
      <c r="O31">
        <f t="shared" si="0"/>
        <v>171.299999969</v>
      </c>
      <c r="P31">
        <f t="shared" si="1"/>
        <v>24</v>
      </c>
    </row>
    <row r="32" spans="1:16" x14ac:dyDescent="0.2">
      <c r="A32">
        <f t="shared" si="6"/>
        <v>28</v>
      </c>
      <c r="B32">
        <f t="shared" si="2"/>
        <v>25944</v>
      </c>
      <c r="C32" t="str">
        <f>IFERROR(INDEX(Starter!B:B,MATCH(B32,Starter!A:A,0)),"")</f>
        <v>Kohl, Oswald</v>
      </c>
      <c r="D32" t="str">
        <f>IFERROR(INDEX(Starter!C:C,MATCH(B32,Starter!A:A,0)),"")</f>
        <v>BC Adler Nürnberg</v>
      </c>
      <c r="E32" s="92">
        <f t="shared" si="3"/>
        <v>2146</v>
      </c>
      <c r="F32">
        <f t="shared" si="4"/>
        <v>13</v>
      </c>
      <c r="G32" s="169">
        <f t="shared" si="5"/>
        <v>165.07692303592307</v>
      </c>
      <c r="L32" s="108">
        <f>INDEX(Starter!A:A,ROW()-1)</f>
        <v>38869</v>
      </c>
      <c r="M32">
        <f>INDEX(SchnittGes5!M:M,MATCH(L32,SchnittGes5!L:L,0))+INDEX(Schnitt6!M:M,MATCH(L32,Schnitt6!L:L,0))</f>
        <v>2460</v>
      </c>
      <c r="N32">
        <f>INDEX(SchnittGes5!N:N,MATCH(L32,SchnittGes5!L:L,0))+INDEX(Schnitt6!N:N,MATCH(L32,Schnitt6!L:L,0))</f>
        <v>16</v>
      </c>
      <c r="O32">
        <f t="shared" si="0"/>
        <v>153.749999968</v>
      </c>
      <c r="P32">
        <f t="shared" si="1"/>
        <v>34</v>
      </c>
    </row>
    <row r="33" spans="1:16" x14ac:dyDescent="0.2">
      <c r="A33">
        <f t="shared" si="6"/>
        <v>29</v>
      </c>
      <c r="B33">
        <f t="shared" si="2"/>
        <v>7761</v>
      </c>
      <c r="C33" t="str">
        <f>IFERROR(INDEX(Starter!B:B,MATCH(B33,Starter!A:A,0)),"")</f>
        <v>Schmitt, Peter</v>
      </c>
      <c r="D33" t="str">
        <f>IFERROR(INDEX(Starter!C:C,MATCH(B33,Starter!A:A,0)),"")</f>
        <v>BC Adler Nürnberg</v>
      </c>
      <c r="E33" s="92">
        <f t="shared" si="3"/>
        <v>3626</v>
      </c>
      <c r="F33">
        <f t="shared" si="4"/>
        <v>22</v>
      </c>
      <c r="G33" s="169">
        <f t="shared" si="5"/>
        <v>164.81818178018182</v>
      </c>
      <c r="L33" s="108">
        <f>INDEX(Starter!A:A,ROW()-1)</f>
        <v>25895</v>
      </c>
      <c r="M33">
        <f>INDEX(SchnittGes5!M:M,MATCH(L33,SchnittGes5!L:L,0))+INDEX(Schnitt6!M:M,MATCH(L33,Schnitt6!L:L,0))</f>
        <v>2935</v>
      </c>
      <c r="N33">
        <f>INDEX(SchnittGes5!N:N,MATCH(L33,SchnittGes5!L:L,0))+INDEX(Schnitt6!N:N,MATCH(L33,Schnitt6!L:L,0))</f>
        <v>16</v>
      </c>
      <c r="O33">
        <f t="shared" si="0"/>
        <v>183.43749996700001</v>
      </c>
      <c r="P33">
        <f t="shared" si="1"/>
        <v>11</v>
      </c>
    </row>
    <row r="34" spans="1:16" x14ac:dyDescent="0.2">
      <c r="A34">
        <f t="shared" si="6"/>
        <v>30</v>
      </c>
      <c r="B34">
        <f t="shared" si="2"/>
        <v>38509</v>
      </c>
      <c r="C34" t="str">
        <f>IFERROR(INDEX(Starter!B:B,MATCH(B34,Starter!A:A,0)),"")</f>
        <v>Zahiri, Ali</v>
      </c>
      <c r="D34" t="str">
        <f>IFERROR(INDEX(Starter!C:C,MATCH(B34,Starter!A:A,0)),"")</f>
        <v>Kings Club Bayreuth</v>
      </c>
      <c r="E34" s="92">
        <f t="shared" si="3"/>
        <v>4113</v>
      </c>
      <c r="F34">
        <f t="shared" si="4"/>
        <v>25</v>
      </c>
      <c r="G34" s="169">
        <f t="shared" si="5"/>
        <v>164.51999998300002</v>
      </c>
      <c r="L34" s="108">
        <f>INDEX(Starter!A:A,ROW()-1)</f>
        <v>38260</v>
      </c>
      <c r="M34">
        <f>INDEX(SchnittGes5!M:M,MATCH(L34,SchnittGes5!L:L,0))+INDEX(Schnitt6!M:M,MATCH(L34,Schnitt6!L:L,0))</f>
        <v>949</v>
      </c>
      <c r="N34">
        <f>INDEX(SchnittGes5!N:N,MATCH(L34,SchnittGes5!L:L,0))+INDEX(Schnitt6!N:N,MATCH(L34,Schnitt6!L:L,0))</f>
        <v>5</v>
      </c>
      <c r="O34">
        <f t="shared" si="0"/>
        <v>189.799999966</v>
      </c>
      <c r="P34">
        <f t="shared" si="1"/>
        <v>3</v>
      </c>
    </row>
    <row r="35" spans="1:16" x14ac:dyDescent="0.2">
      <c r="A35">
        <f t="shared" si="6"/>
        <v>31</v>
      </c>
      <c r="B35">
        <f t="shared" si="2"/>
        <v>38870</v>
      </c>
      <c r="C35" t="str">
        <f>IFERROR(INDEX(Starter!B:B,MATCH(B35,Starter!A:A,0)),"")</f>
        <v>Martin, Dennis</v>
      </c>
      <c r="D35" t="str">
        <f>IFERROR(INDEX(Starter!C:C,MATCH(B35,Starter!A:A,0)),"")</f>
        <v>BC Castra Regina Regensburg</v>
      </c>
      <c r="E35" s="92">
        <f t="shared" si="3"/>
        <v>4070</v>
      </c>
      <c r="F35">
        <f t="shared" si="4"/>
        <v>25</v>
      </c>
      <c r="G35" s="169">
        <f t="shared" si="5"/>
        <v>162.79999997600001</v>
      </c>
      <c r="L35" s="108">
        <f>INDEX(Starter!A:A,ROW()-1)</f>
        <v>38570</v>
      </c>
      <c r="M35">
        <f>INDEX(SchnittGes5!M:M,MATCH(L35,SchnittGes5!L:L,0))+INDEX(Schnitt6!M:M,MATCH(L35,Schnitt6!L:L,0))</f>
        <v>3049</v>
      </c>
      <c r="N35">
        <f>INDEX(SchnittGes5!N:N,MATCH(L35,SchnittGes5!L:L,0))+INDEX(Schnitt6!N:N,MATCH(L35,Schnitt6!L:L,0))</f>
        <v>18</v>
      </c>
      <c r="O35">
        <f t="shared" si="0"/>
        <v>169.38888885388889</v>
      </c>
      <c r="P35">
        <f t="shared" si="1"/>
        <v>25</v>
      </c>
    </row>
    <row r="36" spans="1:16" x14ac:dyDescent="0.2">
      <c r="A36">
        <f t="shared" si="6"/>
        <v>32</v>
      </c>
      <c r="B36">
        <f t="shared" si="2"/>
        <v>25479</v>
      </c>
      <c r="C36" t="str">
        <f>IFERROR(INDEX(Starter!B:B,MATCH(B36,Starter!A:A,0)),"")</f>
        <v>Theisen, Alexander</v>
      </c>
      <c r="D36" t="str">
        <f>IFERROR(INDEX(Starter!C:C,MATCH(B36,Starter!A:A,0)),"")</f>
        <v>Kings Club Bayreuth</v>
      </c>
      <c r="E36" s="92">
        <f t="shared" si="3"/>
        <v>3166</v>
      </c>
      <c r="F36">
        <f t="shared" si="4"/>
        <v>20</v>
      </c>
      <c r="G36" s="169">
        <f t="shared" si="5"/>
        <v>158.29999999600003</v>
      </c>
      <c r="L36" s="108">
        <f>INDEX(Starter!A:A,ROW()-1)</f>
        <v>25723</v>
      </c>
      <c r="M36">
        <f>INDEX(SchnittGes5!M:M,MATCH(L36,SchnittGes5!L:L,0))+INDEX(Schnitt6!M:M,MATCH(L36,Schnitt6!L:L,0))</f>
        <v>1875</v>
      </c>
      <c r="N36">
        <f>INDEX(SchnittGes5!N:N,MATCH(L36,SchnittGes5!L:L,0))+INDEX(Schnitt6!N:N,MATCH(L36,Schnitt6!L:L,0))</f>
        <v>10</v>
      </c>
      <c r="O36">
        <f t="shared" si="0"/>
        <v>187.49999996400001</v>
      </c>
      <c r="P36">
        <f t="shared" si="1"/>
        <v>7</v>
      </c>
    </row>
    <row r="37" spans="1:16" x14ac:dyDescent="0.2">
      <c r="A37">
        <f t="shared" si="6"/>
        <v>33</v>
      </c>
      <c r="B37">
        <f t="shared" si="2"/>
        <v>7809</v>
      </c>
      <c r="C37" t="str">
        <f>IFERROR(INDEX(Starter!B:B,MATCH(B37,Starter!A:A,0)),"")</f>
        <v>Graml, Christian</v>
      </c>
      <c r="D37" t="str">
        <f>IFERROR(INDEX(Starter!C:C,MATCH(B37,Starter!A:A,0)),"")</f>
        <v>BC Castra Regina Regensburg</v>
      </c>
      <c r="E37" s="92">
        <f t="shared" si="3"/>
        <v>313</v>
      </c>
      <c r="F37">
        <f t="shared" si="4"/>
        <v>2</v>
      </c>
      <c r="G37" s="169">
        <f t="shared" si="5"/>
        <v>156.49999997500001</v>
      </c>
      <c r="L37" s="108">
        <f>INDEX(Starter!A:A,ROW()-1)</f>
        <v>7816</v>
      </c>
      <c r="M37">
        <f>INDEX(SchnittGes5!M:M,MATCH(L37,SchnittGes5!L:L,0))+INDEX(Schnitt6!M:M,MATCH(L37,Schnitt6!L:L,0))</f>
        <v>919</v>
      </c>
      <c r="N37">
        <f>INDEX(SchnittGes5!N:N,MATCH(L37,SchnittGes5!L:L,0))+INDEX(Schnitt6!N:N,MATCH(L37,Schnitt6!L:L,0))</f>
        <v>5</v>
      </c>
      <c r="O37">
        <f t="shared" si="0"/>
        <v>183.799999963</v>
      </c>
      <c r="P37">
        <f t="shared" si="1"/>
        <v>10</v>
      </c>
    </row>
    <row r="38" spans="1:16" x14ac:dyDescent="0.2">
      <c r="A38">
        <f t="shared" si="6"/>
        <v>34</v>
      </c>
      <c r="B38">
        <f t="shared" si="2"/>
        <v>38869</v>
      </c>
      <c r="C38" t="str">
        <f>IFERROR(INDEX(Starter!B:B,MATCH(B38,Starter!A:A,0)),"")</f>
        <v>Simon, Diana</v>
      </c>
      <c r="D38" t="str">
        <f>IFERROR(INDEX(Starter!C:C,MATCH(B38,Starter!A:A,0)),"")</f>
        <v>BC Castra Regina Regensburg</v>
      </c>
      <c r="E38" s="92">
        <f t="shared" si="3"/>
        <v>2460</v>
      </c>
      <c r="F38">
        <f t="shared" si="4"/>
        <v>16</v>
      </c>
      <c r="G38" s="169">
        <f t="shared" si="5"/>
        <v>153.749999968</v>
      </c>
      <c r="L38" s="108">
        <f>INDEX(Starter!A:A,ROW()-1)</f>
        <v>7761</v>
      </c>
      <c r="M38">
        <f>INDEX(SchnittGes5!M:M,MATCH(L38,SchnittGes5!L:L,0))+INDEX(Schnitt6!M:M,MATCH(L38,Schnitt6!L:L,0))</f>
        <v>3626</v>
      </c>
      <c r="N38">
        <f>INDEX(SchnittGes5!N:N,MATCH(L38,SchnittGes5!L:L,0))+INDEX(Schnitt6!N:N,MATCH(L38,Schnitt6!L:L,0))</f>
        <v>22</v>
      </c>
      <c r="O38">
        <f t="shared" si="0"/>
        <v>164.81818178018182</v>
      </c>
      <c r="P38">
        <f t="shared" si="1"/>
        <v>29</v>
      </c>
    </row>
    <row r="39" spans="1:16" x14ac:dyDescent="0.2">
      <c r="A39">
        <f t="shared" si="6"/>
        <v>35</v>
      </c>
      <c r="B39">
        <f t="shared" si="2"/>
        <v>16897</v>
      </c>
      <c r="C39" t="str">
        <f>IFERROR(INDEX(Starter!B:B,MATCH(B39,Starter!A:A,0)),"")</f>
        <v>Hertel, Jürgen</v>
      </c>
      <c r="D39" t="str">
        <f>IFERROR(INDEX(Starter!C:C,MATCH(B39,Starter!A:A,0)),"")</f>
        <v>BC Herzogenaurach</v>
      </c>
      <c r="E39" s="92">
        <f t="shared" si="3"/>
        <v>305</v>
      </c>
      <c r="F39">
        <f t="shared" si="4"/>
        <v>2</v>
      </c>
      <c r="G39" s="169">
        <f t="shared" si="5"/>
        <v>152.49999995600001</v>
      </c>
      <c r="L39" s="108">
        <f>INDEX(Starter!A:A,ROW()-1)</f>
        <v>7714</v>
      </c>
      <c r="M39">
        <f>INDEX(SchnittGes5!M:M,MATCH(L39,SchnittGes5!L:L,0))+INDEX(Schnitt6!M:M,MATCH(L39,Schnitt6!L:L,0))</f>
        <v>2623</v>
      </c>
      <c r="N39">
        <f>INDEX(SchnittGes5!N:N,MATCH(L39,SchnittGes5!L:L,0))+INDEX(Schnitt6!N:N,MATCH(L39,Schnitt6!L:L,0))</f>
        <v>15</v>
      </c>
      <c r="O39">
        <f t="shared" si="0"/>
        <v>174.86666662766666</v>
      </c>
      <c r="P39">
        <f t="shared" si="1"/>
        <v>20</v>
      </c>
    </row>
    <row r="40" spans="1:16" x14ac:dyDescent="0.2">
      <c r="A40">
        <f t="shared" si="6"/>
        <v>36</v>
      </c>
      <c r="B40">
        <f t="shared" si="2"/>
        <v>38507</v>
      </c>
      <c r="C40" t="str">
        <f>IFERROR(INDEX(Starter!B:B,MATCH(B40,Starter!A:A,0)),"")</f>
        <v>Piehl, Fred</v>
      </c>
      <c r="D40" t="str">
        <f>IFERROR(INDEX(Starter!C:C,MATCH(B40,Starter!A:A,0)),"")</f>
        <v>Kings Club Bayreuth</v>
      </c>
      <c r="E40" s="92">
        <f t="shared" si="3"/>
        <v>444</v>
      </c>
      <c r="F40">
        <f t="shared" si="4"/>
        <v>3</v>
      </c>
      <c r="G40" s="169">
        <f t="shared" si="5"/>
        <v>147.99999999400001</v>
      </c>
      <c r="L40" s="108">
        <f>INDEX(Starter!A:A,ROW()-1)</f>
        <v>25811</v>
      </c>
      <c r="M40">
        <f>INDEX(SchnittGes5!M:M,MATCH(L40,SchnittGes5!L:L,0))+INDEX(Schnitt6!M:M,MATCH(L40,Schnitt6!L:L,0))</f>
        <v>4325</v>
      </c>
      <c r="N40">
        <f>INDEX(SchnittGes5!N:N,MATCH(L40,SchnittGes5!L:L,0))+INDEX(Schnitt6!N:N,MATCH(L40,Schnitt6!L:L,0))</f>
        <v>25</v>
      </c>
      <c r="O40">
        <f t="shared" si="0"/>
        <v>172.99999996</v>
      </c>
      <c r="P40">
        <f t="shared" si="1"/>
        <v>22</v>
      </c>
    </row>
    <row r="41" spans="1:16" x14ac:dyDescent="0.2">
      <c r="A41">
        <f t="shared" si="6"/>
        <v>37</v>
      </c>
      <c r="B41">
        <f t="shared" si="2"/>
        <v>7123</v>
      </c>
      <c r="C41" t="str">
        <f>IFERROR(INDEX(Starter!B:B,MATCH(B41,Starter!A:A,0)),"")</f>
        <v>Reichert, Roland</v>
      </c>
      <c r="D41" t="str">
        <f>IFERROR(INDEX(Starter!C:C,MATCH(B41,Starter!A:A,0)),"")</f>
        <v>Kings Club Bayreuth</v>
      </c>
      <c r="E41" s="92">
        <f t="shared" si="3"/>
        <v>3688</v>
      </c>
      <c r="F41">
        <f t="shared" si="4"/>
        <v>25</v>
      </c>
      <c r="G41" s="169">
        <f t="shared" si="5"/>
        <v>147.51999999700001</v>
      </c>
      <c r="L41" s="108">
        <f>INDEX(Starter!A:A,ROW()-1)</f>
        <v>25944</v>
      </c>
      <c r="M41">
        <f>INDEX(SchnittGes5!M:M,MATCH(L41,SchnittGes5!L:L,0))+INDEX(Schnitt6!M:M,MATCH(L41,Schnitt6!L:L,0))</f>
        <v>2146</v>
      </c>
      <c r="N41">
        <f>INDEX(SchnittGes5!N:N,MATCH(L41,SchnittGes5!L:L,0))+INDEX(Schnitt6!N:N,MATCH(L41,Schnitt6!L:L,0))</f>
        <v>13</v>
      </c>
      <c r="O41">
        <f t="shared" si="0"/>
        <v>165.07692303592307</v>
      </c>
      <c r="P41">
        <f t="shared" si="1"/>
        <v>28</v>
      </c>
    </row>
    <row r="42" spans="1:16" x14ac:dyDescent="0.2">
      <c r="A42">
        <f t="shared" si="6"/>
        <v>38</v>
      </c>
      <c r="B42">
        <f t="shared" si="2"/>
        <v>38152</v>
      </c>
      <c r="C42" t="str">
        <f>IFERROR(INDEX(Starter!B:B,MATCH(B42,Starter!A:A,0)),"")</f>
        <v>Hirsch, Edmund</v>
      </c>
      <c r="D42" t="str">
        <f>IFERROR(INDEX(Starter!C:C,MATCH(B42,Starter!A:A,0)),"")</f>
        <v>Kings Club Bayreuth</v>
      </c>
      <c r="E42" s="92">
        <f t="shared" si="3"/>
        <v>282</v>
      </c>
      <c r="F42">
        <f t="shared" si="4"/>
        <v>2</v>
      </c>
      <c r="G42" s="169">
        <f t="shared" si="5"/>
        <v>140.99999998800001</v>
      </c>
      <c r="L42" s="108">
        <f>INDEX(Starter!A:A,ROW()-1)</f>
        <v>16707</v>
      </c>
      <c r="M42">
        <f>INDEX(SchnittGes5!M:M,MATCH(L42,SchnittGes5!L:L,0))+INDEX(Schnitt6!M:M,MATCH(L42,Schnitt6!L:L,0))</f>
        <v>4448</v>
      </c>
      <c r="N42">
        <f>INDEX(SchnittGes5!N:N,MATCH(L42,SchnittGes5!L:L,0))+INDEX(Schnitt6!N:N,MATCH(L42,Schnitt6!L:L,0))</f>
        <v>25</v>
      </c>
      <c r="O42">
        <f t="shared" si="0"/>
        <v>177.91999995799998</v>
      </c>
      <c r="P42">
        <f t="shared" si="1"/>
        <v>18</v>
      </c>
    </row>
    <row r="43" spans="1:16" x14ac:dyDescent="0.2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92" t="str">
        <f t="shared" si="3"/>
        <v/>
      </c>
      <c r="F43" t="str">
        <f t="shared" si="4"/>
        <v/>
      </c>
      <c r="G43" s="169" t="str">
        <f t="shared" si="5"/>
        <v/>
      </c>
      <c r="L43" s="108">
        <f>INDEX(Starter!A:A,ROW()-1)</f>
        <v>25760</v>
      </c>
      <c r="M43">
        <f>INDEX(SchnittGes5!M:M,MATCH(L43,SchnittGes5!L:L,0))+INDEX(Schnitt6!M:M,MATCH(L43,Schnitt6!L:L,0))</f>
        <v>4704</v>
      </c>
      <c r="N43">
        <f>INDEX(SchnittGes5!N:N,MATCH(L43,SchnittGes5!L:L,0))+INDEX(Schnitt6!N:N,MATCH(L43,Schnitt6!L:L,0))</f>
        <v>25</v>
      </c>
      <c r="O43">
        <f t="shared" si="0"/>
        <v>188.159999957</v>
      </c>
      <c r="P43">
        <f t="shared" si="1"/>
        <v>5</v>
      </c>
    </row>
    <row r="44" spans="1:16" x14ac:dyDescent="0.2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92" t="str">
        <f t="shared" si="3"/>
        <v/>
      </c>
      <c r="F44" t="str">
        <f t="shared" si="4"/>
        <v/>
      </c>
      <c r="G44" s="169" t="str">
        <f t="shared" si="5"/>
        <v/>
      </c>
      <c r="L44" s="108">
        <f>INDEX(Starter!A:A,ROW()-1)</f>
        <v>16897</v>
      </c>
      <c r="M44">
        <f>INDEX(SchnittGes5!M:M,MATCH(L44,SchnittGes5!L:L,0))+INDEX(Schnitt6!M:M,MATCH(L44,Schnitt6!L:L,0))</f>
        <v>305</v>
      </c>
      <c r="N44">
        <f>INDEX(SchnittGes5!N:N,MATCH(L44,SchnittGes5!L:L,0))+INDEX(Schnitt6!N:N,MATCH(L44,Schnitt6!L:L,0))</f>
        <v>2</v>
      </c>
      <c r="O44">
        <f t="shared" si="0"/>
        <v>152.49999995600001</v>
      </c>
      <c r="P44">
        <f t="shared" si="1"/>
        <v>35</v>
      </c>
    </row>
    <row r="45" spans="1:16" x14ac:dyDescent="0.2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92" t="str">
        <f t="shared" si="3"/>
        <v/>
      </c>
      <c r="F45" t="str">
        <f t="shared" si="4"/>
        <v/>
      </c>
      <c r="G45" s="169" t="str">
        <f t="shared" si="5"/>
        <v/>
      </c>
      <c r="L45" s="108">
        <f>INDEX(Starter!A:A,ROW()-1)</f>
        <v>7126</v>
      </c>
      <c r="M45">
        <f>INDEX(SchnittGes5!M:M,MATCH(L45,SchnittGes5!L:L,0))+INDEX(Schnitt6!M:M,MATCH(L45,Schnitt6!L:L,0))</f>
        <v>960</v>
      </c>
      <c r="N45">
        <f>INDEX(SchnittGes5!N:N,MATCH(L45,SchnittGes5!L:L,0))+INDEX(Schnitt6!N:N,MATCH(L45,Schnitt6!L:L,0))</f>
        <v>5</v>
      </c>
      <c r="O45">
        <f t="shared" si="0"/>
        <v>191.99999995499999</v>
      </c>
      <c r="P45">
        <f t="shared" si="1"/>
        <v>2</v>
      </c>
    </row>
    <row r="46" spans="1:16" x14ac:dyDescent="0.2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92" t="str">
        <f t="shared" si="3"/>
        <v/>
      </c>
      <c r="F46" t="str">
        <f t="shared" si="4"/>
        <v/>
      </c>
      <c r="G46" s="169" t="str">
        <f t="shared" si="5"/>
        <v/>
      </c>
      <c r="L46" s="108">
        <f>INDEX(Starter!A:A,ROW()-1)</f>
        <v>0</v>
      </c>
      <c r="M46">
        <f>INDEX(SchnittGes5!M:M,MATCH(L46,SchnittGes5!L:L,0))+INDEX(Schnitt6!M:M,MATCH(L46,Schnitt6!L:L,0))</f>
        <v>0</v>
      </c>
      <c r="N46">
        <f>INDEX(SchnittGes5!N:N,MATCH(L46,SchnittGes5!L:L,0))+INDEX(Schnitt6!N:N,MATCH(L46,Schnitt6!L:L,0))</f>
        <v>0</v>
      </c>
      <c r="O46">
        <f t="shared" si="0"/>
        <v>0</v>
      </c>
      <c r="P46">
        <f t="shared" si="1"/>
        <v>39</v>
      </c>
    </row>
    <row r="47" spans="1:16" x14ac:dyDescent="0.2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92" t="str">
        <f t="shared" si="3"/>
        <v/>
      </c>
      <c r="F47" t="str">
        <f t="shared" si="4"/>
        <v/>
      </c>
      <c r="G47" s="169" t="str">
        <f t="shared" si="5"/>
        <v/>
      </c>
      <c r="L47" s="108">
        <f>INDEX(Starter!A:A,ROW()-1)</f>
        <v>0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0"/>
        <v>0</v>
      </c>
      <c r="P47">
        <f t="shared" si="1"/>
        <v>39</v>
      </c>
    </row>
    <row r="48" spans="1:16" x14ac:dyDescent="0.2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92" t="str">
        <f t="shared" si="3"/>
        <v/>
      </c>
      <c r="F48" t="str">
        <f t="shared" si="4"/>
        <v/>
      </c>
      <c r="G48" s="169" t="str">
        <f t="shared" si="5"/>
        <v/>
      </c>
      <c r="L48" s="108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39</v>
      </c>
    </row>
    <row r="49" spans="1:16" x14ac:dyDescent="0.2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92" t="str">
        <f t="shared" si="3"/>
        <v/>
      </c>
      <c r="F49" t="str">
        <f t="shared" si="4"/>
        <v/>
      </c>
      <c r="G49" s="169" t="str">
        <f t="shared" si="5"/>
        <v/>
      </c>
      <c r="L49" s="108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39</v>
      </c>
    </row>
    <row r="50" spans="1:16" x14ac:dyDescent="0.2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92" t="str">
        <f t="shared" si="3"/>
        <v/>
      </c>
      <c r="F50" t="str">
        <f t="shared" si="4"/>
        <v/>
      </c>
      <c r="G50" s="169" t="str">
        <f t="shared" si="5"/>
        <v/>
      </c>
      <c r="L50" s="108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39</v>
      </c>
    </row>
    <row r="51" spans="1:16" x14ac:dyDescent="0.2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92" t="str">
        <f t="shared" si="3"/>
        <v/>
      </c>
      <c r="F51" t="str">
        <f t="shared" si="4"/>
        <v/>
      </c>
      <c r="G51" s="169" t="str">
        <f t="shared" si="5"/>
        <v/>
      </c>
      <c r="L51" s="108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39</v>
      </c>
    </row>
    <row r="52" spans="1:16" x14ac:dyDescent="0.2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92" t="str">
        <f t="shared" si="3"/>
        <v/>
      </c>
      <c r="F52" t="str">
        <f t="shared" si="4"/>
        <v/>
      </c>
      <c r="G52" s="169" t="str">
        <f t="shared" si="5"/>
        <v/>
      </c>
      <c r="L52" s="108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39</v>
      </c>
    </row>
    <row r="53" spans="1:16" x14ac:dyDescent="0.2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92" t="str">
        <f t="shared" si="3"/>
        <v/>
      </c>
      <c r="F53" t="str">
        <f t="shared" si="4"/>
        <v/>
      </c>
      <c r="G53" s="169" t="str">
        <f t="shared" si="5"/>
        <v/>
      </c>
      <c r="L53" s="108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39</v>
      </c>
    </row>
    <row r="54" spans="1:16" x14ac:dyDescent="0.2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92" t="str">
        <f t="shared" si="3"/>
        <v/>
      </c>
      <c r="F54" t="str">
        <f t="shared" si="4"/>
        <v/>
      </c>
      <c r="G54" s="169" t="str">
        <f t="shared" si="5"/>
        <v/>
      </c>
      <c r="L54" s="108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39</v>
      </c>
    </row>
    <row r="55" spans="1:16" x14ac:dyDescent="0.2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92" t="str">
        <f t="shared" si="3"/>
        <v/>
      </c>
      <c r="F55" t="str">
        <f t="shared" si="4"/>
        <v/>
      </c>
      <c r="G55" s="169" t="str">
        <f t="shared" si="5"/>
        <v/>
      </c>
      <c r="L55" s="108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39</v>
      </c>
    </row>
    <row r="56" spans="1:16" x14ac:dyDescent="0.2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92" t="str">
        <f t="shared" si="3"/>
        <v/>
      </c>
      <c r="F56" t="str">
        <f t="shared" si="4"/>
        <v/>
      </c>
      <c r="G56" s="169" t="str">
        <f t="shared" si="5"/>
        <v/>
      </c>
      <c r="L56" s="108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39</v>
      </c>
    </row>
    <row r="57" spans="1:16" x14ac:dyDescent="0.2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92" t="str">
        <f t="shared" si="3"/>
        <v/>
      </c>
      <c r="F57" t="str">
        <f t="shared" si="4"/>
        <v/>
      </c>
      <c r="G57" s="169" t="str">
        <f t="shared" si="5"/>
        <v/>
      </c>
      <c r="L57" s="108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39</v>
      </c>
    </row>
    <row r="58" spans="1:16" x14ac:dyDescent="0.2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92" t="str">
        <f t="shared" si="3"/>
        <v/>
      </c>
      <c r="F58" t="str">
        <f t="shared" si="4"/>
        <v/>
      </c>
      <c r="G58" s="169" t="str">
        <f t="shared" si="5"/>
        <v/>
      </c>
      <c r="L58" s="108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39</v>
      </c>
    </row>
    <row r="59" spans="1:16" x14ac:dyDescent="0.2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92" t="str">
        <f t="shared" si="3"/>
        <v/>
      </c>
      <c r="F59" t="str">
        <f t="shared" si="4"/>
        <v/>
      </c>
      <c r="G59" s="169" t="str">
        <f t="shared" si="5"/>
        <v/>
      </c>
      <c r="L59" s="108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39</v>
      </c>
    </row>
    <row r="60" spans="1:16" x14ac:dyDescent="0.2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92" t="str">
        <f t="shared" si="3"/>
        <v/>
      </c>
      <c r="F60" t="str">
        <f t="shared" si="4"/>
        <v/>
      </c>
      <c r="G60" s="169" t="str">
        <f t="shared" si="5"/>
        <v/>
      </c>
      <c r="L60" s="108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39</v>
      </c>
    </row>
    <row r="61" spans="1:16" x14ac:dyDescent="0.2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92" t="str">
        <f t="shared" si="3"/>
        <v/>
      </c>
      <c r="F61" t="str">
        <f t="shared" si="4"/>
        <v/>
      </c>
      <c r="G61" s="169" t="str">
        <f t="shared" si="5"/>
        <v/>
      </c>
      <c r="L61" s="108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39</v>
      </c>
    </row>
    <row r="62" spans="1:16" x14ac:dyDescent="0.2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92" t="str">
        <f t="shared" si="3"/>
        <v/>
      </c>
      <c r="F62" t="str">
        <f t="shared" si="4"/>
        <v/>
      </c>
      <c r="G62" s="169" t="str">
        <f t="shared" si="5"/>
        <v/>
      </c>
      <c r="L62" s="108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39</v>
      </c>
    </row>
    <row r="63" spans="1:16" x14ac:dyDescent="0.2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92" t="str">
        <f t="shared" si="3"/>
        <v/>
      </c>
      <c r="F63" t="str">
        <f t="shared" si="4"/>
        <v/>
      </c>
      <c r="G63" s="169" t="str">
        <f t="shared" si="5"/>
        <v/>
      </c>
      <c r="L63" s="108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39</v>
      </c>
    </row>
    <row r="64" spans="1:16" x14ac:dyDescent="0.2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92" t="str">
        <f t="shared" si="3"/>
        <v/>
      </c>
      <c r="F64" t="str">
        <f t="shared" si="4"/>
        <v/>
      </c>
      <c r="G64" s="169" t="str">
        <f t="shared" si="5"/>
        <v/>
      </c>
      <c r="L64" s="108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39</v>
      </c>
    </row>
    <row r="65" spans="1:16" x14ac:dyDescent="0.2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92" t="str">
        <f t="shared" si="3"/>
        <v/>
      </c>
      <c r="F65" t="str">
        <f t="shared" si="4"/>
        <v/>
      </c>
      <c r="G65" s="169" t="str">
        <f t="shared" si="5"/>
        <v/>
      </c>
      <c r="L65" s="108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39</v>
      </c>
    </row>
    <row r="66" spans="1:16" x14ac:dyDescent="0.2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92" t="str">
        <f t="shared" si="3"/>
        <v/>
      </c>
      <c r="F66" t="str">
        <f t="shared" si="4"/>
        <v/>
      </c>
      <c r="G66" s="169" t="str">
        <f t="shared" si="5"/>
        <v/>
      </c>
      <c r="L66" s="108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39</v>
      </c>
    </row>
    <row r="67" spans="1:16" x14ac:dyDescent="0.2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92" t="str">
        <f t="shared" si="3"/>
        <v/>
      </c>
      <c r="F67" t="str">
        <f t="shared" si="4"/>
        <v/>
      </c>
      <c r="G67" s="169" t="str">
        <f t="shared" si="5"/>
        <v/>
      </c>
      <c r="L67" s="108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39</v>
      </c>
    </row>
    <row r="68" spans="1:16" x14ac:dyDescent="0.2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92" t="str">
        <f t="shared" si="3"/>
        <v/>
      </c>
      <c r="F68" t="str">
        <f t="shared" si="4"/>
        <v/>
      </c>
      <c r="G68" s="169" t="str">
        <f t="shared" si="5"/>
        <v/>
      </c>
      <c r="L68" s="108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39</v>
      </c>
    </row>
    <row r="69" spans="1:16" x14ac:dyDescent="0.2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92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69" t="str">
        <f t="shared" ref="G69:G104" si="12">IFERROR(INDEX(O:O,MATCH(A69,P:P,0)),"")</f>
        <v/>
      </c>
      <c r="L69" s="108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39</v>
      </c>
    </row>
    <row r="70" spans="1:16" x14ac:dyDescent="0.2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92" t="str">
        <f t="shared" si="10"/>
        <v/>
      </c>
      <c r="F70" t="str">
        <f t="shared" si="11"/>
        <v/>
      </c>
      <c r="G70" s="169" t="str">
        <f t="shared" si="12"/>
        <v/>
      </c>
      <c r="L70" s="108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39</v>
      </c>
    </row>
    <row r="71" spans="1:16" x14ac:dyDescent="0.2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92" t="str">
        <f t="shared" si="10"/>
        <v/>
      </c>
      <c r="F71" t="str">
        <f t="shared" si="11"/>
        <v/>
      </c>
      <c r="G71" s="169" t="str">
        <f t="shared" si="12"/>
        <v/>
      </c>
      <c r="L71" s="108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39</v>
      </c>
    </row>
    <row r="72" spans="1:16" x14ac:dyDescent="0.2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92" t="str">
        <f t="shared" si="10"/>
        <v/>
      </c>
      <c r="F72" t="str">
        <f t="shared" si="11"/>
        <v/>
      </c>
      <c r="G72" s="169" t="str">
        <f t="shared" si="12"/>
        <v/>
      </c>
      <c r="L72" s="108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39</v>
      </c>
    </row>
    <row r="73" spans="1:16" x14ac:dyDescent="0.2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92" t="str">
        <f t="shared" si="10"/>
        <v/>
      </c>
      <c r="F73" t="str">
        <f t="shared" si="11"/>
        <v/>
      </c>
      <c r="G73" s="169" t="str">
        <f t="shared" si="12"/>
        <v/>
      </c>
      <c r="L73" s="108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39</v>
      </c>
    </row>
    <row r="74" spans="1:16" x14ac:dyDescent="0.2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92" t="str">
        <f t="shared" si="10"/>
        <v/>
      </c>
      <c r="F74" t="str">
        <f t="shared" si="11"/>
        <v/>
      </c>
      <c r="G74" s="169" t="str">
        <f t="shared" si="12"/>
        <v/>
      </c>
      <c r="L74" s="108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39</v>
      </c>
    </row>
    <row r="75" spans="1:16" x14ac:dyDescent="0.2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92" t="str">
        <f t="shared" si="10"/>
        <v/>
      </c>
      <c r="F75" t="str">
        <f t="shared" si="11"/>
        <v/>
      </c>
      <c r="G75" s="169" t="str">
        <f t="shared" si="12"/>
        <v/>
      </c>
      <c r="L75" s="108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39</v>
      </c>
    </row>
    <row r="76" spans="1:16" x14ac:dyDescent="0.2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92" t="str">
        <f t="shared" si="10"/>
        <v/>
      </c>
      <c r="F76" t="str">
        <f t="shared" si="11"/>
        <v/>
      </c>
      <c r="G76" s="169" t="str">
        <f t="shared" si="12"/>
        <v/>
      </c>
      <c r="L76" s="108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39</v>
      </c>
    </row>
    <row r="77" spans="1:16" x14ac:dyDescent="0.2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92" t="str">
        <f t="shared" si="10"/>
        <v/>
      </c>
      <c r="F77" t="str">
        <f t="shared" si="11"/>
        <v/>
      </c>
      <c r="G77" s="169" t="str">
        <f t="shared" si="12"/>
        <v/>
      </c>
      <c r="L77" s="108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39</v>
      </c>
    </row>
    <row r="78" spans="1:16" x14ac:dyDescent="0.2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92" t="str">
        <f t="shared" si="10"/>
        <v/>
      </c>
      <c r="F78" t="str">
        <f t="shared" si="11"/>
        <v/>
      </c>
      <c r="G78" s="169" t="str">
        <f t="shared" si="12"/>
        <v/>
      </c>
      <c r="L78" s="108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39</v>
      </c>
    </row>
    <row r="79" spans="1:16" x14ac:dyDescent="0.2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92" t="str">
        <f t="shared" si="10"/>
        <v/>
      </c>
      <c r="F79" t="str">
        <f t="shared" si="11"/>
        <v/>
      </c>
      <c r="G79" s="169" t="str">
        <f t="shared" si="12"/>
        <v/>
      </c>
      <c r="L79" s="108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39</v>
      </c>
    </row>
    <row r="80" spans="1:16" x14ac:dyDescent="0.2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92" t="str">
        <f t="shared" si="10"/>
        <v/>
      </c>
      <c r="F80" t="str">
        <f t="shared" si="11"/>
        <v/>
      </c>
      <c r="G80" s="169" t="str">
        <f t="shared" si="12"/>
        <v/>
      </c>
      <c r="L80" s="108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39</v>
      </c>
    </row>
    <row r="81" spans="1:16" x14ac:dyDescent="0.2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92" t="str">
        <f t="shared" si="10"/>
        <v/>
      </c>
      <c r="F81" t="str">
        <f t="shared" si="11"/>
        <v/>
      </c>
      <c r="G81" s="169" t="str">
        <f t="shared" si="12"/>
        <v/>
      </c>
      <c r="L81" s="108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39</v>
      </c>
    </row>
    <row r="82" spans="1:16" x14ac:dyDescent="0.2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92" t="str">
        <f t="shared" si="10"/>
        <v/>
      </c>
      <c r="F82" t="str">
        <f t="shared" si="11"/>
        <v/>
      </c>
      <c r="G82" s="169" t="str">
        <f t="shared" si="12"/>
        <v/>
      </c>
      <c r="L82" s="108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39</v>
      </c>
    </row>
    <row r="83" spans="1:16" x14ac:dyDescent="0.2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92" t="str">
        <f t="shared" si="10"/>
        <v/>
      </c>
      <c r="F83" t="str">
        <f t="shared" si="11"/>
        <v/>
      </c>
      <c r="G83" s="169" t="str">
        <f t="shared" si="12"/>
        <v/>
      </c>
      <c r="L83" s="108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39</v>
      </c>
    </row>
    <row r="84" spans="1:16" x14ac:dyDescent="0.2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92" t="str">
        <f t="shared" si="10"/>
        <v/>
      </c>
      <c r="F84" t="str">
        <f t="shared" si="11"/>
        <v/>
      </c>
      <c r="G84" s="169" t="str">
        <f t="shared" si="12"/>
        <v/>
      </c>
      <c r="L84" s="108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39</v>
      </c>
    </row>
    <row r="85" spans="1:16" x14ac:dyDescent="0.2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92" t="str">
        <f t="shared" si="10"/>
        <v/>
      </c>
      <c r="F85" t="str">
        <f t="shared" si="11"/>
        <v/>
      </c>
      <c r="G85" s="169" t="str">
        <f t="shared" si="12"/>
        <v/>
      </c>
      <c r="L85" s="108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39</v>
      </c>
    </row>
    <row r="86" spans="1:16" x14ac:dyDescent="0.2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92" t="str">
        <f t="shared" si="10"/>
        <v/>
      </c>
      <c r="F86" t="str">
        <f t="shared" si="11"/>
        <v/>
      </c>
      <c r="G86" s="169" t="str">
        <f t="shared" si="12"/>
        <v/>
      </c>
      <c r="L86" s="108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39</v>
      </c>
    </row>
    <row r="87" spans="1:16" x14ac:dyDescent="0.2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92" t="str">
        <f t="shared" si="10"/>
        <v/>
      </c>
      <c r="F87" t="str">
        <f t="shared" si="11"/>
        <v/>
      </c>
      <c r="G87" s="169" t="str">
        <f t="shared" si="12"/>
        <v/>
      </c>
      <c r="L87" s="108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39</v>
      </c>
    </row>
    <row r="88" spans="1:16" x14ac:dyDescent="0.2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92" t="str">
        <f t="shared" si="10"/>
        <v/>
      </c>
      <c r="F88" t="str">
        <f t="shared" si="11"/>
        <v/>
      </c>
      <c r="G88" s="169" t="str">
        <f t="shared" si="12"/>
        <v/>
      </c>
      <c r="L88" s="108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39</v>
      </c>
    </row>
    <row r="89" spans="1:16" x14ac:dyDescent="0.2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92" t="str">
        <f t="shared" si="10"/>
        <v/>
      </c>
      <c r="F89" t="str">
        <f t="shared" si="11"/>
        <v/>
      </c>
      <c r="G89" s="169" t="str">
        <f t="shared" si="12"/>
        <v/>
      </c>
      <c r="L89" s="108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39</v>
      </c>
    </row>
    <row r="90" spans="1:16" x14ac:dyDescent="0.2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92" t="str">
        <f t="shared" si="10"/>
        <v/>
      </c>
      <c r="F90" t="str">
        <f t="shared" si="11"/>
        <v/>
      </c>
      <c r="G90" s="169" t="str">
        <f t="shared" si="12"/>
        <v/>
      </c>
      <c r="L90" s="108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39</v>
      </c>
    </row>
    <row r="91" spans="1:16" x14ac:dyDescent="0.2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92" t="str">
        <f t="shared" si="10"/>
        <v/>
      </c>
      <c r="F91" t="str">
        <f t="shared" si="11"/>
        <v/>
      </c>
      <c r="G91" s="169" t="str">
        <f t="shared" si="12"/>
        <v/>
      </c>
      <c r="L91" s="108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39</v>
      </c>
    </row>
    <row r="92" spans="1:16" x14ac:dyDescent="0.2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92" t="str">
        <f t="shared" si="10"/>
        <v/>
      </c>
      <c r="F92" t="str">
        <f t="shared" si="11"/>
        <v/>
      </c>
      <c r="G92" s="169" t="str">
        <f t="shared" si="12"/>
        <v/>
      </c>
      <c r="L92" s="108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39</v>
      </c>
    </row>
    <row r="93" spans="1:16" x14ac:dyDescent="0.2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92" t="str">
        <f t="shared" si="10"/>
        <v/>
      </c>
      <c r="F93" t="str">
        <f t="shared" si="11"/>
        <v/>
      </c>
      <c r="G93" s="169" t="str">
        <f t="shared" si="12"/>
        <v/>
      </c>
      <c r="L93" s="108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39</v>
      </c>
    </row>
    <row r="94" spans="1:16" x14ac:dyDescent="0.2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92" t="str">
        <f t="shared" si="10"/>
        <v/>
      </c>
      <c r="F94" t="str">
        <f t="shared" si="11"/>
        <v/>
      </c>
      <c r="G94" s="169" t="str">
        <f t="shared" si="12"/>
        <v/>
      </c>
      <c r="L94" s="108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39</v>
      </c>
    </row>
    <row r="95" spans="1:16" x14ac:dyDescent="0.2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92" t="str">
        <f t="shared" si="10"/>
        <v/>
      </c>
      <c r="F95" t="str">
        <f t="shared" si="11"/>
        <v/>
      </c>
      <c r="G95" s="169" t="str">
        <f t="shared" si="12"/>
        <v/>
      </c>
      <c r="L95" s="108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39</v>
      </c>
    </row>
    <row r="96" spans="1:16" x14ac:dyDescent="0.2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92" t="str">
        <f t="shared" si="10"/>
        <v/>
      </c>
      <c r="F96" t="str">
        <f t="shared" si="11"/>
        <v/>
      </c>
      <c r="G96" s="169" t="str">
        <f t="shared" si="12"/>
        <v/>
      </c>
      <c r="L96" s="108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39</v>
      </c>
    </row>
    <row r="97" spans="1:16" x14ac:dyDescent="0.2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92" t="str">
        <f t="shared" si="10"/>
        <v/>
      </c>
      <c r="F97" t="str">
        <f t="shared" si="11"/>
        <v/>
      </c>
      <c r="G97" s="169" t="str">
        <f t="shared" si="12"/>
        <v/>
      </c>
      <c r="L97" s="108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39</v>
      </c>
    </row>
    <row r="98" spans="1:16" x14ac:dyDescent="0.2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92" t="str">
        <f t="shared" si="10"/>
        <v/>
      </c>
      <c r="F98" t="str">
        <f t="shared" si="11"/>
        <v/>
      </c>
      <c r="G98" s="169" t="str">
        <f t="shared" si="12"/>
        <v/>
      </c>
      <c r="L98" s="108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39</v>
      </c>
    </row>
    <row r="99" spans="1:16" x14ac:dyDescent="0.2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92" t="str">
        <f t="shared" si="10"/>
        <v/>
      </c>
      <c r="F99" t="str">
        <f t="shared" si="11"/>
        <v/>
      </c>
      <c r="G99" s="169" t="str">
        <f t="shared" si="12"/>
        <v/>
      </c>
      <c r="L99" s="108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39</v>
      </c>
    </row>
    <row r="100" spans="1:16" x14ac:dyDescent="0.2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92" t="str">
        <f t="shared" si="10"/>
        <v/>
      </c>
      <c r="F100" t="str">
        <f t="shared" si="11"/>
        <v/>
      </c>
      <c r="G100" s="169" t="str">
        <f t="shared" si="12"/>
        <v/>
      </c>
      <c r="L100" s="108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39</v>
      </c>
    </row>
    <row r="101" spans="1:16" x14ac:dyDescent="0.2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92" t="str">
        <f t="shared" si="10"/>
        <v/>
      </c>
      <c r="F101" t="str">
        <f t="shared" si="11"/>
        <v/>
      </c>
      <c r="G101" s="169" t="str">
        <f t="shared" si="12"/>
        <v/>
      </c>
      <c r="L101" s="108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39</v>
      </c>
    </row>
    <row r="102" spans="1:16" x14ac:dyDescent="0.2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92" t="str">
        <f t="shared" si="10"/>
        <v/>
      </c>
      <c r="F102" t="str">
        <f t="shared" si="11"/>
        <v/>
      </c>
      <c r="G102" s="169" t="str">
        <f t="shared" si="12"/>
        <v/>
      </c>
      <c r="L102" s="108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39</v>
      </c>
    </row>
    <row r="103" spans="1:16" x14ac:dyDescent="0.2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92" t="str">
        <f t="shared" si="10"/>
        <v/>
      </c>
      <c r="F103" t="str">
        <f t="shared" si="11"/>
        <v/>
      </c>
      <c r="G103" s="169" t="str">
        <f t="shared" si="12"/>
        <v/>
      </c>
      <c r="L103" s="108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39</v>
      </c>
    </row>
    <row r="104" spans="1:16" x14ac:dyDescent="0.2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92" t="str">
        <f t="shared" si="10"/>
        <v/>
      </c>
      <c r="F104" t="str">
        <f t="shared" si="11"/>
        <v/>
      </c>
      <c r="G104" s="169" t="str">
        <f t="shared" si="12"/>
        <v/>
      </c>
      <c r="L104" s="108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39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3A278-B051-474A-AB9D-A9F6DEB22959}">
  <dimension ref="A1:D96"/>
  <sheetViews>
    <sheetView topLeftCell="A13" zoomScale="115" workbookViewId="0">
      <selection activeCell="E44" sqref="E44"/>
    </sheetView>
  </sheetViews>
  <sheetFormatPr baseColWidth="10" defaultRowHeight="12" x14ac:dyDescent="0.2"/>
  <cols>
    <col min="1" max="1" width="11.42578125" style="235"/>
    <col min="2" max="2" width="23.7109375" style="82" customWidth="1"/>
    <col min="3" max="3" width="23" style="82" customWidth="1"/>
    <col min="4" max="16384" width="11.42578125" style="82"/>
  </cols>
  <sheetData>
    <row r="1" spans="1:4" x14ac:dyDescent="0.2">
      <c r="A1" s="235">
        <v>7136</v>
      </c>
      <c r="B1" s="82" t="str">
        <f>VLOOKUP(A1,member!$A$5:$K$1300,3,FALSE)&amp;", "&amp;VLOOKUP(A1,member!$A$5:$K$1300,4,FALSE)</f>
        <v>Rühr, Wilfried</v>
      </c>
      <c r="C1" s="82" t="str">
        <f>VLOOKUP(A1,member!$A$5:$K$1300,9,FALSE)</f>
        <v>Kings Club Bayreuth</v>
      </c>
      <c r="D1" s="82" t="str">
        <f>VLOOKUP(A1,member!$A$5:$K$1300,11,FALSE)</f>
        <v>BAL</v>
      </c>
    </row>
    <row r="2" spans="1:4" x14ac:dyDescent="0.2">
      <c r="A2" s="235">
        <v>7123</v>
      </c>
      <c r="B2" s="82" t="str">
        <f>VLOOKUP(A2,member!$A$5:$K$1300,3,FALSE)&amp;", "&amp;VLOOKUP(A2,member!$A$5:$K$1300,4,FALSE)</f>
        <v>Reichert, Roland</v>
      </c>
      <c r="C2" s="82" t="str">
        <f>VLOOKUP(A2,member!$A$5:$K$1300,9,FALSE)</f>
        <v>Kings Club Bayreuth</v>
      </c>
      <c r="D2" s="82" t="str">
        <f>VLOOKUP(A2,member!$A$5:$K$1300,11,FALSE)</f>
        <v>BAL</v>
      </c>
    </row>
    <row r="3" spans="1:4" x14ac:dyDescent="0.2">
      <c r="A3" s="235">
        <v>25479</v>
      </c>
      <c r="B3" s="82" t="str">
        <f>VLOOKUP(A3,member!$A$5:$K$1300,3,FALSE)&amp;", "&amp;VLOOKUP(A3,member!$A$5:$K$1300,4,FALSE)</f>
        <v>Theisen, Alexander</v>
      </c>
      <c r="C3" s="82" t="str">
        <f>VLOOKUP(A3,member!$A$5:$K$1300,9,FALSE)</f>
        <v>Kings Club Bayreuth</v>
      </c>
      <c r="D3" s="82" t="str">
        <f>VLOOKUP(A3,member!$A$5:$K$1300,11,FALSE)</f>
        <v>BAL</v>
      </c>
    </row>
    <row r="4" spans="1:4" x14ac:dyDescent="0.2">
      <c r="A4" s="235">
        <v>7128</v>
      </c>
      <c r="B4" s="82" t="str">
        <f>VLOOKUP(A4,member!$A$5:$K$1300,3,FALSE)&amp;", "&amp;VLOOKUP(A4,member!$A$5:$K$1300,4,FALSE)</f>
        <v>Wallner, Harald</v>
      </c>
      <c r="C4" s="82" t="str">
        <f>VLOOKUP(A4,member!$A$5:$K$1300,9,FALSE)</f>
        <v>Kings Club Bayreuth</v>
      </c>
      <c r="D4" s="82" t="str">
        <f>VLOOKUP(A4,member!$A$5:$K$1300,11,FALSE)</f>
        <v>BAL</v>
      </c>
    </row>
    <row r="5" spans="1:4" x14ac:dyDescent="0.2">
      <c r="A5" s="235">
        <v>38507</v>
      </c>
      <c r="B5" s="82" t="str">
        <f>VLOOKUP(A5,member!$A$5:$K$1300,3,FALSE)&amp;", "&amp;VLOOKUP(A5,member!$A$5:$K$1300,4,FALSE)</f>
        <v>Piehl, Fred</v>
      </c>
      <c r="C5" s="82" t="str">
        <f>VLOOKUP(A5,member!$A$5:$K$1300,9,FALSE)</f>
        <v>Kings Club Bayreuth</v>
      </c>
      <c r="D5" s="82" t="str">
        <f>VLOOKUP(A5,member!$A$5:$K$1300,11,FALSE)</f>
        <v>BAL</v>
      </c>
    </row>
    <row r="6" spans="1:4" x14ac:dyDescent="0.2">
      <c r="A6" s="235">
        <v>38115</v>
      </c>
      <c r="B6" s="82" t="str">
        <f>VLOOKUP(A6,member!$A$5:$K$1300,3,FALSE)&amp;", "&amp;VLOOKUP(A6,member!$A$5:$K$1300,4,FALSE)</f>
        <v>Bräutigam, Kai</v>
      </c>
      <c r="C6" s="82" t="str">
        <f>VLOOKUP(A6,member!$A$5:$K$1300,9,FALSE)</f>
        <v>Kings Club Bayreuth</v>
      </c>
      <c r="D6" s="82" t="str">
        <f>VLOOKUP(A6,member!$A$5:$K$1300,11,FALSE)</f>
        <v>BAL</v>
      </c>
    </row>
    <row r="7" spans="1:4" x14ac:dyDescent="0.2">
      <c r="A7" s="235">
        <v>7586</v>
      </c>
      <c r="B7" s="82" t="str">
        <f>VLOOKUP(A7,member!$A$5:$K$1300,3,FALSE)&amp;", "&amp;VLOOKUP(A7,member!$A$5:$K$1300,4,FALSE)</f>
        <v>Eichner, Karl</v>
      </c>
      <c r="C7" s="82" t="str">
        <f>VLOOKUP(A7,member!$A$5:$K$1300,9,FALSE)</f>
        <v>Kings Club Bayreuth</v>
      </c>
      <c r="D7" s="82" t="str">
        <f>VLOOKUP(A7,member!$A$5:$K$1300,11,FALSE)</f>
        <v>BAL</v>
      </c>
    </row>
    <row r="8" spans="1:4" x14ac:dyDescent="0.2">
      <c r="A8" s="235">
        <v>9936</v>
      </c>
      <c r="B8" s="82" t="str">
        <f>VLOOKUP(A8,member!$A$5:$K$1300,3,FALSE)&amp;", "&amp;VLOOKUP(A8,member!$A$5:$K$1300,4,FALSE)</f>
        <v>Fischer, Nick</v>
      </c>
      <c r="C8" s="82" t="str">
        <f>VLOOKUP(A8,member!$A$5:$K$1300,9,FALSE)</f>
        <v>Kings Club Bayreuth</v>
      </c>
      <c r="D8" s="82" t="str">
        <f>VLOOKUP(A8,member!$A$5:$K$1300,11,FALSE)</f>
        <v>BAL</v>
      </c>
    </row>
    <row r="9" spans="1:4" x14ac:dyDescent="0.2">
      <c r="A9" s="235">
        <v>7135</v>
      </c>
      <c r="B9" s="82" t="str">
        <f>VLOOKUP(A9,member!$A$5:$K$1300,3,FALSE)&amp;", "&amp;VLOOKUP(A9,member!$A$5:$K$1300,4,FALSE)</f>
        <v>Franke, Guido</v>
      </c>
      <c r="C9" s="82" t="str">
        <f>VLOOKUP(A9,member!$A$5:$K$1300,9,FALSE)</f>
        <v>Kings Club Bayreuth</v>
      </c>
      <c r="D9" s="82" t="str">
        <f>VLOOKUP(A9,member!$A$5:$K$1300,11,FALSE)</f>
        <v>BAL</v>
      </c>
    </row>
    <row r="10" spans="1:4" x14ac:dyDescent="0.2">
      <c r="A10" s="235">
        <v>38367</v>
      </c>
      <c r="B10" s="82" t="str">
        <f>VLOOKUP(A10,member!$A$5:$K$1300,3,FALSE)&amp;", "&amp;VLOOKUP(A10,member!$A$5:$K$1300,4,FALSE)</f>
        <v>Heinlein, Tobias</v>
      </c>
      <c r="C10" s="82" t="str">
        <f>VLOOKUP(A10,member!$A$5:$K$1300,9,FALSE)</f>
        <v>Kings Club Bayreuth</v>
      </c>
      <c r="D10" s="82" t="str">
        <f>VLOOKUP(A10,member!$A$5:$K$1300,11,FALSE)</f>
        <v>BAL</v>
      </c>
    </row>
    <row r="11" spans="1:4" x14ac:dyDescent="0.2">
      <c r="A11" s="235">
        <v>38152</v>
      </c>
      <c r="B11" s="82" t="str">
        <f>VLOOKUP(A11,member!$A$5:$K$1300,3,FALSE)&amp;", "&amp;VLOOKUP(A11,member!$A$5:$K$1300,4,FALSE)</f>
        <v>Hirsch, Edmund</v>
      </c>
      <c r="C11" s="82" t="str">
        <f>VLOOKUP(A11,member!$A$5:$K$1300,9,FALSE)</f>
        <v>Kings Club Bayreuth</v>
      </c>
      <c r="D11" s="82" t="str">
        <f>VLOOKUP(A11,member!$A$5:$K$1300,11,FALSE)</f>
        <v>BAL</v>
      </c>
    </row>
    <row r="12" spans="1:4" x14ac:dyDescent="0.2">
      <c r="A12" s="235">
        <v>25007</v>
      </c>
      <c r="B12" s="82" t="str">
        <f>VLOOKUP(A12,member!$A$5:$K$1300,3,FALSE)&amp;", "&amp;VLOOKUP(A12,member!$A$5:$K$1300,4,FALSE)</f>
        <v>Jung, Jennifer</v>
      </c>
      <c r="C12" s="82" t="str">
        <f>VLOOKUP(A12,member!$A$5:$K$1300,9,FALSE)</f>
        <v>Kings Club Bayreuth</v>
      </c>
      <c r="D12" s="82" t="str">
        <f>VLOOKUP(A12,member!$A$5:$K$1300,11,FALSE)</f>
        <v>BAL</v>
      </c>
    </row>
    <row r="13" spans="1:4" x14ac:dyDescent="0.2">
      <c r="A13" s="235">
        <v>38661</v>
      </c>
      <c r="B13" s="82" t="str">
        <f>VLOOKUP(A13,member!$A$5:$K$1300,3,FALSE)&amp;", "&amp;VLOOKUP(A13,member!$A$5:$K$1300,4,FALSE)</f>
        <v>Katholing, Jürgen</v>
      </c>
      <c r="C13" s="82" t="str">
        <f>VLOOKUP(A13,member!$A$5:$K$1300,9,FALSE)</f>
        <v>Kings Club Bayreuth</v>
      </c>
      <c r="D13" s="82" t="str">
        <f>VLOOKUP(A13,member!$A$5:$K$1300,11,FALSE)</f>
        <v>BAL</v>
      </c>
    </row>
    <row r="14" spans="1:4" x14ac:dyDescent="0.2">
      <c r="A14" s="235">
        <v>34393</v>
      </c>
      <c r="B14" s="82" t="str">
        <f>VLOOKUP(A14,member!$A$5:$K$1300,3,FALSE)&amp;", "&amp;VLOOKUP(A14,member!$A$5:$K$1300,4,FALSE)</f>
        <v>Namieta, Jacqueline</v>
      </c>
      <c r="C14" s="82" t="str">
        <f>VLOOKUP(A14,member!$A$5:$K$1300,9,FALSE)</f>
        <v>Kings Club Bayreuth</v>
      </c>
      <c r="D14" s="82" t="str">
        <f>VLOOKUP(A14,member!$A$5:$K$1300,11,FALSE)</f>
        <v>BAL</v>
      </c>
    </row>
    <row r="15" spans="1:4" x14ac:dyDescent="0.2">
      <c r="A15" s="235">
        <v>38823</v>
      </c>
      <c r="B15" s="82" t="str">
        <f>VLOOKUP(A15,member!$A$5:$K$1300,3,FALSE)&amp;", "&amp;VLOOKUP(A15,member!$A$5:$K$1300,4,FALSE)</f>
        <v>Sommerer, Stefan</v>
      </c>
      <c r="C15" s="82" t="str">
        <f>VLOOKUP(A15,member!$A$5:$K$1300,9,FALSE)</f>
        <v>Kings Club Bayreuth</v>
      </c>
      <c r="D15" s="82" t="str">
        <f>VLOOKUP(A15,member!$A$5:$K$1300,11,FALSE)</f>
        <v>BAL</v>
      </c>
    </row>
    <row r="16" spans="1:4" x14ac:dyDescent="0.2">
      <c r="A16" s="235">
        <v>38509</v>
      </c>
      <c r="B16" s="82" t="str">
        <f>VLOOKUP(A16,member!$A$5:$K$1300,3,FALSE)&amp;", "&amp;VLOOKUP(A16,member!$A$5:$K$1300,4,FALSE)</f>
        <v>Zahiri, Ali</v>
      </c>
      <c r="C16" s="82" t="str">
        <f>VLOOKUP(A16,member!$A$5:$K$1300,9,FALSE)</f>
        <v>Kings Club Bayreuth</v>
      </c>
      <c r="D16" s="82" t="str">
        <f>VLOOKUP(A16,member!$A$5:$K$1300,11,FALSE)</f>
        <v>BAL</v>
      </c>
    </row>
    <row r="17" spans="1:4" x14ac:dyDescent="0.2">
      <c r="A17" s="235">
        <v>7282</v>
      </c>
      <c r="B17" s="82" t="str">
        <f>VLOOKUP(A17,member!$A$5:$K$1300,3,FALSE)&amp;", "&amp;VLOOKUP(A17,member!$A$5:$K$1300,4,FALSE)</f>
        <v>Voss, Horst</v>
      </c>
      <c r="C17" s="82" t="str">
        <f>VLOOKUP(A17,member!$A$5:$K$1300,9,FALSE)</f>
        <v>BC Herzogenaurach</v>
      </c>
      <c r="D17" s="82" t="str">
        <f>VLOOKUP(A17,member!$A$5:$K$1300,11,FALSE)</f>
        <v>ERL</v>
      </c>
    </row>
    <row r="18" spans="1:4" x14ac:dyDescent="0.2">
      <c r="A18" s="235">
        <v>25378</v>
      </c>
      <c r="B18" s="82" t="str">
        <f>VLOOKUP(A18,member!$A$5:$K$1300,3,FALSE)&amp;", "&amp;VLOOKUP(A18,member!$A$5:$K$1300,4,FALSE)</f>
        <v>Arnold, Nadine</v>
      </c>
      <c r="C18" s="82" t="str">
        <f>VLOOKUP(A18,member!$A$5:$K$1300,9,FALSE)</f>
        <v>BC Herzogenaurach</v>
      </c>
      <c r="D18" s="82" t="str">
        <f>VLOOKUP(A18,member!$A$5:$K$1300,11,FALSE)</f>
        <v>ERL</v>
      </c>
    </row>
    <row r="19" spans="1:4" x14ac:dyDescent="0.2">
      <c r="A19" s="235">
        <v>7286</v>
      </c>
      <c r="B19" s="82" t="str">
        <f>VLOOKUP(A19,member!$A$5:$K$1300,3,FALSE)&amp;", "&amp;VLOOKUP(A19,member!$A$5:$K$1300,4,FALSE)</f>
        <v>Meier, Peter</v>
      </c>
      <c r="C19" s="82" t="str">
        <f>VLOOKUP(A19,member!$A$5:$K$1300,9,FALSE)</f>
        <v>BC Herzogenaurach</v>
      </c>
      <c r="D19" s="82" t="str">
        <f>VLOOKUP(A19,member!$A$5:$K$1300,11,FALSE)</f>
        <v>ERL</v>
      </c>
    </row>
    <row r="20" spans="1:4" x14ac:dyDescent="0.2">
      <c r="A20" s="235">
        <v>7283</v>
      </c>
      <c r="B20" s="82" t="str">
        <f>VLOOKUP(A20,member!$A$5:$K$1300,3,FALSE)&amp;", "&amp;VLOOKUP(A20,member!$A$5:$K$1300,4,FALSE)</f>
        <v>Pichl, Jürgen</v>
      </c>
      <c r="C20" s="82" t="str">
        <f>VLOOKUP(A20,member!$A$5:$K$1300,9,FALSE)</f>
        <v>BC Herzogenaurach</v>
      </c>
      <c r="D20" s="82" t="str">
        <f>VLOOKUP(A20,member!$A$5:$K$1300,11,FALSE)</f>
        <v>ERL</v>
      </c>
    </row>
    <row r="21" spans="1:4" x14ac:dyDescent="0.2">
      <c r="A21" s="235">
        <v>38046</v>
      </c>
      <c r="B21" s="82" t="str">
        <f>VLOOKUP(A21,member!$A$5:$K$1300,3,FALSE)&amp;", "&amp;VLOOKUP(A21,member!$A$5:$K$1300,4,FALSE)</f>
        <v>Humbs, Martin</v>
      </c>
      <c r="C21" s="82" t="str">
        <f>VLOOKUP(A21,member!$A$5:$K$1300,9,FALSE)</f>
        <v>BC Castra Regina Regensburg</v>
      </c>
      <c r="D21" s="82" t="str">
        <f>VLOOKUP(A21,member!$A$5:$K$1300,11,FALSE)</f>
        <v>REG</v>
      </c>
    </row>
    <row r="22" spans="1:4" x14ac:dyDescent="0.2">
      <c r="A22" s="235">
        <v>38571</v>
      </c>
      <c r="B22" s="82" t="str">
        <f>VLOOKUP(A22,member!$A$5:$K$1300,3,FALSE)&amp;", "&amp;VLOOKUP(A22,member!$A$5:$K$1300,4,FALSE)</f>
        <v>Simon, Steven</v>
      </c>
      <c r="C22" s="82" t="str">
        <f>VLOOKUP(A22,member!$A$5:$K$1300,9,FALSE)</f>
        <v>BC Castra Regina Regensburg</v>
      </c>
      <c r="D22" s="82" t="str">
        <f>VLOOKUP(A22,member!$A$5:$K$1300,11,FALSE)</f>
        <v>REG</v>
      </c>
    </row>
    <row r="23" spans="1:4" x14ac:dyDescent="0.2">
      <c r="A23" s="235">
        <v>38870</v>
      </c>
      <c r="B23" s="82" t="str">
        <f>VLOOKUP(A23,member!$A$5:$K$1300,3,FALSE)&amp;", "&amp;VLOOKUP(A23,member!$A$5:$K$1300,4,FALSE)</f>
        <v>Martin, Dennis</v>
      </c>
      <c r="C23" s="82" t="str">
        <f>VLOOKUP(A23,member!$A$5:$K$1300,9,FALSE)</f>
        <v>BC Castra Regina Regensburg</v>
      </c>
      <c r="D23" s="82" t="str">
        <f>VLOOKUP(A23,member!$A$5:$K$1300,11,FALSE)</f>
        <v>REG</v>
      </c>
    </row>
    <row r="24" spans="1:4" x14ac:dyDescent="0.2">
      <c r="A24" s="235">
        <v>7809</v>
      </c>
      <c r="B24" s="82" t="str">
        <f>VLOOKUP(A24,member!$A$5:$K$1300,3,FALSE)&amp;", "&amp;VLOOKUP(A24,member!$A$5:$K$1300,4,FALSE)</f>
        <v>Graml, Christian</v>
      </c>
      <c r="C24" s="82" t="str">
        <f>VLOOKUP(A24,member!$A$5:$K$1300,9,FALSE)</f>
        <v>BC Castra Regina Regensburg</v>
      </c>
      <c r="D24" s="82" t="str">
        <f>VLOOKUP(A24,member!$A$5:$K$1300,11,FALSE)</f>
        <v>REG</v>
      </c>
    </row>
    <row r="25" spans="1:4" x14ac:dyDescent="0.2">
      <c r="A25" s="235">
        <v>7814</v>
      </c>
      <c r="B25" s="82" t="str">
        <f>VLOOKUP(A25,member!$A$5:$K$1300,3,FALSE)&amp;", "&amp;VLOOKUP(A25,member!$A$5:$K$1300,4,FALSE)</f>
        <v>Kauscher, Bernhard</v>
      </c>
      <c r="C25" s="82" t="str">
        <f>VLOOKUP(A25,member!$A$5:$K$1300,9,FALSE)</f>
        <v>BC Castra Regina Regensburg</v>
      </c>
      <c r="D25" s="82" t="str">
        <f>VLOOKUP(A25,member!$A$5:$K$1300,11,FALSE)</f>
        <v>REG</v>
      </c>
    </row>
    <row r="26" spans="1:4" x14ac:dyDescent="0.2">
      <c r="A26" s="235">
        <v>7813</v>
      </c>
      <c r="B26" s="82" t="str">
        <f>VLOOKUP(A26,member!$A$5:$K$1300,3,FALSE)&amp;", "&amp;VLOOKUP(A26,member!$A$5:$K$1300,4,FALSE)</f>
        <v>Walzer, Peter</v>
      </c>
      <c r="C26" s="82" t="str">
        <f>VLOOKUP(A26,member!$A$5:$K$1300,9,FALSE)</f>
        <v>BC Castra Regina Regensburg</v>
      </c>
      <c r="D26" s="82" t="str">
        <f>VLOOKUP(A26,member!$A$5:$K$1300,11,FALSE)</f>
        <v>REG</v>
      </c>
    </row>
    <row r="27" spans="1:4" x14ac:dyDescent="0.2">
      <c r="A27" s="235">
        <v>7730</v>
      </c>
      <c r="B27" s="82" t="str">
        <f>VLOOKUP(A27,member!$A$5:$K$1300,3,FALSE)&amp;", "&amp;VLOOKUP(A27,member!$A$5:$K$1300,4,FALSE)</f>
        <v>Bess, Stefan</v>
      </c>
      <c r="C27" s="82" t="str">
        <f>VLOOKUP(A27,member!$A$5:$K$1300,9,FALSE)</f>
        <v>BC Castra Regina Regensburg</v>
      </c>
      <c r="D27" s="82" t="str">
        <f>VLOOKUP(A27,member!$A$5:$K$1300,11,FALSE)</f>
        <v>REG</v>
      </c>
    </row>
    <row r="28" spans="1:4" x14ac:dyDescent="0.2">
      <c r="A28" s="235">
        <v>25130</v>
      </c>
      <c r="B28" s="82" t="str">
        <f>VLOOKUP(A28,member!$A$5:$K$1300,3,FALSE)&amp;", "&amp;VLOOKUP(A28,member!$A$5:$K$1300,4,FALSE)</f>
        <v>Aumeier, Bernhard</v>
      </c>
      <c r="C28" s="82" t="str">
        <f>VLOOKUP(A28,member!$A$5:$K$1300,9,FALSE)</f>
        <v>BC Castra Regina Regensburg</v>
      </c>
      <c r="D28" s="82" t="str">
        <f>VLOOKUP(A28,member!$A$5:$K$1300,11,FALSE)</f>
        <v>REG</v>
      </c>
    </row>
    <row r="29" spans="1:4" x14ac:dyDescent="0.2">
      <c r="A29" s="235">
        <v>7854</v>
      </c>
      <c r="B29" s="82" t="str">
        <f>VLOOKUP(A29,member!$A$5:$K$1300,3,FALSE)&amp;", "&amp;VLOOKUP(A29,member!$A$5:$K$1300,4,FALSE)</f>
        <v>Schnaitter, Werner</v>
      </c>
      <c r="C29" s="82" t="str">
        <f>VLOOKUP(A29,member!$A$5:$K$1300,9,FALSE)</f>
        <v>BC Castra Regina Regensburg</v>
      </c>
      <c r="D29" s="82" t="str">
        <f>VLOOKUP(A29,member!$A$5:$K$1300,11,FALSE)</f>
        <v>REG</v>
      </c>
    </row>
    <row r="30" spans="1:4" x14ac:dyDescent="0.2">
      <c r="A30" s="235">
        <v>7849</v>
      </c>
      <c r="B30" s="82" t="str">
        <f>VLOOKUP(A30,member!$A$5:$K$1300,3,FALSE)&amp;", "&amp;VLOOKUP(A30,member!$A$5:$K$1300,4,FALSE)</f>
        <v>Stibel, Blasius</v>
      </c>
      <c r="C30" s="82" t="str">
        <f>VLOOKUP(A30,member!$A$5:$K$1300,9,FALSE)</f>
        <v>BC Castra Regina Regensburg</v>
      </c>
      <c r="D30" s="82" t="str">
        <f>VLOOKUP(A30,member!$A$5:$K$1300,11,FALSE)</f>
        <v>REG</v>
      </c>
    </row>
    <row r="31" spans="1:4" x14ac:dyDescent="0.2">
      <c r="A31" s="235">
        <v>38869</v>
      </c>
      <c r="B31" s="82" t="str">
        <f>VLOOKUP(A31,member!$A$5:$K$1300,3,FALSE)&amp;", "&amp;VLOOKUP(A31,member!$A$5:$K$1300,4,FALSE)</f>
        <v>Simon, Diana</v>
      </c>
      <c r="C31" s="82" t="str">
        <f>VLOOKUP(A31,member!$A$5:$K$1300,9,FALSE)</f>
        <v>BC Castra Regina Regensburg</v>
      </c>
      <c r="D31" s="82" t="str">
        <f>VLOOKUP(A31,member!$A$5:$K$1300,11,FALSE)</f>
        <v>REG</v>
      </c>
    </row>
    <row r="32" spans="1:4" x14ac:dyDescent="0.2">
      <c r="A32" s="235">
        <v>25895</v>
      </c>
      <c r="B32" s="82" t="str">
        <f>VLOOKUP(A32,member!$A$5:$K$1300,3,FALSE)&amp;", "&amp;VLOOKUP(A32,member!$A$5:$K$1300,4,FALSE)</f>
        <v>Gilch, Stefan</v>
      </c>
      <c r="C32" s="82" t="str">
        <f>VLOOKUP(A32,member!$A$5:$K$1300,9,FALSE)</f>
        <v>BC Castra Regina Regensburg</v>
      </c>
      <c r="D32" s="82" t="str">
        <f>VLOOKUP(A32,member!$A$5:$K$1300,11,FALSE)</f>
        <v>REG</v>
      </c>
    </row>
    <row r="33" spans="1:4" x14ac:dyDescent="0.2">
      <c r="A33" s="235">
        <v>38260</v>
      </c>
      <c r="B33" s="82" t="str">
        <f>VLOOKUP(A33,member!$A$5:$K$1300,3,FALSE)&amp;", "&amp;VLOOKUP(A33,member!$A$5:$K$1300,4,FALSE)</f>
        <v>Zehendner, Lukas</v>
      </c>
      <c r="C33" s="82" t="str">
        <f>VLOOKUP(A33,member!$A$5:$K$1300,9,FALSE)</f>
        <v>BC Castra Regina Regensburg</v>
      </c>
      <c r="D33" s="82" t="str">
        <f>VLOOKUP(A33,member!$A$5:$K$1300,11,FALSE)</f>
        <v>REG</v>
      </c>
    </row>
    <row r="34" spans="1:4" x14ac:dyDescent="0.2">
      <c r="A34" s="235">
        <v>38570</v>
      </c>
      <c r="B34" s="82" t="str">
        <f>VLOOKUP(A34,member!$A$5:$K$1300,3,FALSE)&amp;", "&amp;VLOOKUP(A34,member!$A$5:$K$1300,4,FALSE)</f>
        <v>Bothe, Willi</v>
      </c>
      <c r="C34" s="82" t="str">
        <f>VLOOKUP(A34,member!$A$5:$K$1300,9,FALSE)</f>
        <v>BC Castra Regina Regensburg</v>
      </c>
      <c r="D34" s="82" t="str">
        <f>VLOOKUP(A34,member!$A$5:$K$1300,11,FALSE)</f>
        <v>REG</v>
      </c>
    </row>
    <row r="35" spans="1:4" x14ac:dyDescent="0.2">
      <c r="A35" s="235">
        <v>25723</v>
      </c>
      <c r="B35" s="82" t="str">
        <f>VLOOKUP(A35,member!$A$5:$K$1300,3,FALSE)&amp;", "&amp;VLOOKUP(A35,member!$A$5:$K$1300,4,FALSE)</f>
        <v>Bothe, Thomas</v>
      </c>
      <c r="C35" s="82" t="str">
        <f>VLOOKUP(A35,member!$A$5:$K$1300,9,FALSE)</f>
        <v>BC Castra Regina Regensburg</v>
      </c>
      <c r="D35" s="82" t="str">
        <f>VLOOKUP(A35,member!$A$5:$K$1300,11,FALSE)</f>
        <v>REG</v>
      </c>
    </row>
    <row r="36" spans="1:4" x14ac:dyDescent="0.2">
      <c r="A36" s="235">
        <v>7816</v>
      </c>
      <c r="B36" s="82" t="str">
        <f>VLOOKUP(A36,member!$A$5:$K$1300,3,FALSE)&amp;", "&amp;VLOOKUP(A36,member!$A$5:$K$1300,4,FALSE)</f>
        <v>Jahre, Steffen</v>
      </c>
      <c r="C36" s="82" t="str">
        <f>VLOOKUP(A36,member!$A$5:$K$1300,9,FALSE)</f>
        <v>BC Castra Regina Regensburg</v>
      </c>
      <c r="D36" s="82" t="str">
        <f>VLOOKUP(A36,member!$A$5:$K$1300,11,FALSE)</f>
        <v>REG</v>
      </c>
    </row>
    <row r="37" spans="1:4" x14ac:dyDescent="0.2">
      <c r="A37" s="235">
        <v>7761</v>
      </c>
      <c r="B37" s="82" t="str">
        <f>VLOOKUP(A37,member!$A$5:$K$1300,3,FALSE)&amp;", "&amp;VLOOKUP(A37,member!$A$5:$K$1300,4,FALSE)</f>
        <v>Schmitt, Peter</v>
      </c>
      <c r="C37" s="82" t="str">
        <f>VLOOKUP(A37,member!$A$5:$K$1300,9,FALSE)</f>
        <v>BC Adler Nürnberg</v>
      </c>
      <c r="D37" s="82" t="str">
        <f>VLOOKUP(A37,member!$A$5:$K$1300,11,FALSE)</f>
        <v>BCN</v>
      </c>
    </row>
    <row r="38" spans="1:4" x14ac:dyDescent="0.2">
      <c r="A38" s="235">
        <v>7714</v>
      </c>
      <c r="B38" s="82" t="str">
        <f>VLOOKUP(A38,member!$A$5:$K$1300,3,FALSE)&amp;", "&amp;VLOOKUP(A38,member!$A$5:$K$1300,4,FALSE)</f>
        <v>Doßler, Thomas</v>
      </c>
      <c r="C38" s="82" t="str">
        <f>VLOOKUP(A38,member!$A$5:$K$1300,9,FALSE)</f>
        <v>BC Adler Nürnberg</v>
      </c>
      <c r="D38" s="82" t="str">
        <f>VLOOKUP(A38,member!$A$5:$K$1300,11,FALSE)</f>
        <v>BCN</v>
      </c>
    </row>
    <row r="39" spans="1:4" x14ac:dyDescent="0.2">
      <c r="A39" s="235">
        <v>25811</v>
      </c>
      <c r="B39" s="82" t="str">
        <f>VLOOKUP(A39,member!$A$5:$K$1300,3,FALSE)&amp;", "&amp;VLOOKUP(A39,member!$A$5:$K$1300,4,FALSE)</f>
        <v>Schmelzl, Werner</v>
      </c>
      <c r="C39" s="82" t="str">
        <f>VLOOKUP(A39,member!$A$5:$K$1300,9,FALSE)</f>
        <v>BC Adler Nürnberg</v>
      </c>
      <c r="D39" s="82" t="str">
        <f>VLOOKUP(A39,member!$A$5:$K$1300,11,FALSE)</f>
        <v>BCN</v>
      </c>
    </row>
    <row r="40" spans="1:4" x14ac:dyDescent="0.2">
      <c r="A40" s="235">
        <v>25944</v>
      </c>
      <c r="B40" s="82" t="str">
        <f>VLOOKUP(A40,member!$A$5:$K$1300,3,FALSE)&amp;", "&amp;VLOOKUP(A40,member!$A$5:$K$1300,4,FALSE)</f>
        <v>Kohl, Oswald</v>
      </c>
      <c r="C40" s="82" t="str">
        <f>VLOOKUP(A40,member!$A$5:$K$1300,9,FALSE)</f>
        <v>BC Adler Nürnberg</v>
      </c>
      <c r="D40" s="82" t="str">
        <f>VLOOKUP(A40,member!$A$5:$K$1300,11,FALSE)</f>
        <v>BCN</v>
      </c>
    </row>
    <row r="41" spans="1:4" x14ac:dyDescent="0.2">
      <c r="A41" s="235">
        <v>16707</v>
      </c>
      <c r="B41" s="82" t="str">
        <f>VLOOKUP(A41,member!$A$5:$K$1300,3,FALSE)&amp;", "&amp;VLOOKUP(A41,member!$A$5:$K$1300,4,FALSE)</f>
        <v>Beier, Thomas</v>
      </c>
      <c r="C41" s="82" t="str">
        <f>VLOOKUP(A41,member!$A$5:$K$1300,9,FALSE)</f>
        <v>BC Adler Nürnberg</v>
      </c>
      <c r="D41" s="82" t="str">
        <f>VLOOKUP(A41,member!$A$5:$K$1300,11,FALSE)</f>
        <v>BCN</v>
      </c>
    </row>
    <row r="42" spans="1:4" x14ac:dyDescent="0.2">
      <c r="A42" s="235">
        <v>25760</v>
      </c>
      <c r="B42" s="82" t="str">
        <f>VLOOKUP(A42,member!$A$5:$K$1300,3,FALSE)&amp;", "&amp;VLOOKUP(A42,member!$A$5:$K$1300,4,FALSE)</f>
        <v>Inkermann, Matthias</v>
      </c>
      <c r="C42" s="82" t="str">
        <f>VLOOKUP(A42,member!$A$5:$K$1300,9,FALSE)</f>
        <v>BC Herzogenaurach</v>
      </c>
      <c r="D42" s="82" t="str">
        <f>VLOOKUP(A42,member!$A$5:$K$1300,11,FALSE)</f>
        <v>ERL</v>
      </c>
    </row>
    <row r="43" spans="1:4" x14ac:dyDescent="0.2">
      <c r="A43" s="235">
        <v>16897</v>
      </c>
      <c r="B43" s="82" t="str">
        <f>VLOOKUP(A43,member!$A$5:$K$1300,3,FALSE)&amp;", "&amp;VLOOKUP(A43,member!$A$5:$K$1300,4,FALSE)</f>
        <v>Hertel, Jürgen</v>
      </c>
      <c r="C43" s="82" t="str">
        <f>VLOOKUP(A43,member!$A$5:$K$1300,9,FALSE)</f>
        <v>BC Herzogenaurach</v>
      </c>
      <c r="D43" s="82" t="str">
        <f>VLOOKUP(A43,member!$A$5:$K$1300,11,FALSE)</f>
        <v>ERL</v>
      </c>
    </row>
    <row r="44" spans="1:4" x14ac:dyDescent="0.2">
      <c r="A44" s="235">
        <v>7126</v>
      </c>
      <c r="B44" s="82" t="s">
        <v>2545</v>
      </c>
      <c r="C44" s="82" t="s">
        <v>701</v>
      </c>
      <c r="D44" s="82" t="s">
        <v>678</v>
      </c>
    </row>
    <row r="45" spans="1:4" x14ac:dyDescent="0.2">
      <c r="B45" s="82" t="e">
        <f>VLOOKUP(A45,member!$A$5:$K$1300,3,FALSE)&amp;", "&amp;VLOOKUP(A45,member!$A$5:$K$1300,4,FALSE)</f>
        <v>#N/A</v>
      </c>
      <c r="C45" s="82" t="e">
        <f>VLOOKUP(A45,member!$A$5:$K$1300,9,FALSE)</f>
        <v>#N/A</v>
      </c>
      <c r="D45" s="82" t="e">
        <f>VLOOKUP(A45,member!$A$5:$K$1300,11,FALSE)</f>
        <v>#N/A</v>
      </c>
    </row>
    <row r="46" spans="1:4" x14ac:dyDescent="0.2">
      <c r="B46" s="82" t="e">
        <f>VLOOKUP(A46,member!$A$5:$K$1300,3,FALSE)&amp;", "&amp;VLOOKUP(A46,member!$A$5:$K$1300,4,FALSE)</f>
        <v>#N/A</v>
      </c>
      <c r="C46" s="82" t="e">
        <f>VLOOKUP(A46,member!$A$5:$K$1300,9,FALSE)</f>
        <v>#N/A</v>
      </c>
      <c r="D46" s="82" t="e">
        <f>VLOOKUP(A46,member!$A$5:$K$1300,11,FALSE)</f>
        <v>#N/A</v>
      </c>
    </row>
    <row r="47" spans="1:4" x14ac:dyDescent="0.2">
      <c r="B47" s="82" t="e">
        <f>VLOOKUP(A47,member!$A$5:$K$1300,3,FALSE)&amp;", "&amp;VLOOKUP(A47,member!$A$5:$K$1300,4,FALSE)</f>
        <v>#N/A</v>
      </c>
      <c r="C47" s="82" t="e">
        <f>VLOOKUP(A47,member!$A$5:$K$1300,9,FALSE)</f>
        <v>#N/A</v>
      </c>
      <c r="D47" s="82" t="e">
        <f>VLOOKUP(A47,member!$A$5:$K$1300,11,FALSE)</f>
        <v>#N/A</v>
      </c>
    </row>
    <row r="48" spans="1:4" x14ac:dyDescent="0.2">
      <c r="B48" s="82" t="e">
        <f>VLOOKUP(A48,member!$A$5:$K$1300,3,FALSE)&amp;", "&amp;VLOOKUP(A48,member!$A$5:$K$1300,4,FALSE)</f>
        <v>#N/A</v>
      </c>
      <c r="C48" s="82" t="e">
        <f>VLOOKUP(A48,member!$A$5:$K$1300,9,FALSE)</f>
        <v>#N/A</v>
      </c>
      <c r="D48" s="82" t="e">
        <f>VLOOKUP(A48,member!$A$5:$K$1300,11,FALSE)</f>
        <v>#N/A</v>
      </c>
    </row>
    <row r="49" spans="2:4" x14ac:dyDescent="0.2">
      <c r="B49" s="82" t="e">
        <f>VLOOKUP(A49,member!$A$5:$K$1300,3,FALSE)&amp;", "&amp;VLOOKUP(A49,member!$A$5:$K$1300,4,FALSE)</f>
        <v>#N/A</v>
      </c>
      <c r="C49" s="82" t="e">
        <f>VLOOKUP(A49,member!$A$5:$K$1300,9,FALSE)</f>
        <v>#N/A</v>
      </c>
      <c r="D49" s="82" t="e">
        <f>VLOOKUP(A49,member!$A$5:$K$1300,11,FALSE)</f>
        <v>#N/A</v>
      </c>
    </row>
    <row r="50" spans="2:4" x14ac:dyDescent="0.2">
      <c r="B50" s="82" t="e">
        <f>VLOOKUP(A50,member!$A$5:$K$1300,3,FALSE)&amp;", "&amp;VLOOKUP(A50,member!$A$5:$K$1300,4,FALSE)</f>
        <v>#N/A</v>
      </c>
      <c r="C50" s="82" t="e">
        <f>VLOOKUP(A50,member!$A$5:$K$1300,9,FALSE)</f>
        <v>#N/A</v>
      </c>
      <c r="D50" s="82" t="e">
        <f>VLOOKUP(A50,member!$A$5:$K$1300,11,FALSE)</f>
        <v>#N/A</v>
      </c>
    </row>
    <row r="51" spans="2:4" x14ac:dyDescent="0.2">
      <c r="B51" s="82" t="e">
        <f>VLOOKUP(A51,member!$A$5:$K$1300,3,FALSE)&amp;", "&amp;VLOOKUP(A51,member!$A$5:$K$1300,4,FALSE)</f>
        <v>#N/A</v>
      </c>
      <c r="C51" s="82" t="e">
        <f>VLOOKUP(A51,member!$A$5:$K$1300,9,FALSE)</f>
        <v>#N/A</v>
      </c>
      <c r="D51" s="82" t="e">
        <f>VLOOKUP(A51,member!$A$5:$K$1300,11,FALSE)</f>
        <v>#N/A</v>
      </c>
    </row>
    <row r="52" spans="2:4" x14ac:dyDescent="0.2">
      <c r="B52" s="82" t="e">
        <f>VLOOKUP(A52,member!$A$5:$K$1300,3,FALSE)&amp;", "&amp;VLOOKUP(A52,member!$A$5:$K$1300,4,FALSE)</f>
        <v>#N/A</v>
      </c>
      <c r="C52" s="82" t="e">
        <f>VLOOKUP(A52,member!$A$5:$K$1300,9,FALSE)</f>
        <v>#N/A</v>
      </c>
      <c r="D52" s="82" t="e">
        <f>VLOOKUP(A52,member!$A$5:$K$1300,11,FALSE)</f>
        <v>#N/A</v>
      </c>
    </row>
    <row r="53" spans="2:4" x14ac:dyDescent="0.2">
      <c r="B53" s="82" t="e">
        <f>VLOOKUP(A53,member!$A$5:$K$1300,3,FALSE)&amp;", "&amp;VLOOKUP(A53,member!$A$5:$K$1300,4,FALSE)</f>
        <v>#N/A</v>
      </c>
      <c r="C53" s="82" t="e">
        <f>VLOOKUP(A53,member!$A$5:$K$1300,9,FALSE)</f>
        <v>#N/A</v>
      </c>
      <c r="D53" s="82" t="e">
        <f>VLOOKUP(A53,member!$A$5:$K$1300,11,FALSE)</f>
        <v>#N/A</v>
      </c>
    </row>
    <row r="54" spans="2:4" x14ac:dyDescent="0.2">
      <c r="B54" s="82" t="e">
        <f>VLOOKUP(A54,member!$A$5:$K$1300,3,FALSE)&amp;", "&amp;VLOOKUP(A54,member!$A$5:$K$1300,4,FALSE)</f>
        <v>#N/A</v>
      </c>
      <c r="C54" s="82" t="e">
        <f>VLOOKUP(A54,member!$A$5:$K$1300,9,FALSE)</f>
        <v>#N/A</v>
      </c>
      <c r="D54" s="82" t="e">
        <f>VLOOKUP(A54,member!$A$5:$K$1300,11,FALSE)</f>
        <v>#N/A</v>
      </c>
    </row>
    <row r="55" spans="2:4" x14ac:dyDescent="0.2">
      <c r="B55" s="82" t="e">
        <f>VLOOKUP(A55,member!$A$5:$K$1300,3,FALSE)&amp;", "&amp;VLOOKUP(A55,member!$A$5:$K$1300,4,FALSE)</f>
        <v>#N/A</v>
      </c>
      <c r="C55" s="82" t="e">
        <f>VLOOKUP(A55,member!$A$5:$K$1300,9,FALSE)</f>
        <v>#N/A</v>
      </c>
      <c r="D55" s="82" t="e">
        <f>VLOOKUP(A55,member!$A$5:$K$1300,11,FALSE)</f>
        <v>#N/A</v>
      </c>
    </row>
    <row r="56" spans="2:4" x14ac:dyDescent="0.2">
      <c r="B56" s="82" t="e">
        <f>VLOOKUP(A56,member!$A$5:$K$1300,3,FALSE)&amp;", "&amp;VLOOKUP(A56,member!$A$5:$K$1300,4,FALSE)</f>
        <v>#N/A</v>
      </c>
      <c r="C56" s="82" t="e">
        <f>VLOOKUP(A56,member!$A$5:$K$1300,9,FALSE)</f>
        <v>#N/A</v>
      </c>
      <c r="D56" s="82" t="e">
        <f>VLOOKUP(A56,member!$A$5:$K$1300,11,FALSE)</f>
        <v>#N/A</v>
      </c>
    </row>
    <row r="57" spans="2:4" x14ac:dyDescent="0.2">
      <c r="B57" s="82" t="e">
        <f>VLOOKUP(A57,member!$A$5:$K$1300,3,FALSE)&amp;", "&amp;VLOOKUP(A57,member!$A$5:$K$1300,4,FALSE)</f>
        <v>#N/A</v>
      </c>
      <c r="C57" s="82" t="e">
        <f>VLOOKUP(A57,member!$A$5:$K$1300,9,FALSE)</f>
        <v>#N/A</v>
      </c>
      <c r="D57" s="82" t="e">
        <f>VLOOKUP(A57,member!$A$5:$K$1300,11,FALSE)</f>
        <v>#N/A</v>
      </c>
    </row>
    <row r="58" spans="2:4" x14ac:dyDescent="0.2">
      <c r="B58" s="82" t="e">
        <f>VLOOKUP(A58,member!$A$5:$K$1300,3,FALSE)&amp;", "&amp;VLOOKUP(A58,member!$A$5:$K$1300,4,FALSE)</f>
        <v>#N/A</v>
      </c>
      <c r="C58" s="82" t="e">
        <f>VLOOKUP(A58,member!$A$5:$K$1300,9,FALSE)</f>
        <v>#N/A</v>
      </c>
      <c r="D58" s="82" t="e">
        <f>VLOOKUP(A58,member!$A$5:$K$1300,11,FALSE)</f>
        <v>#N/A</v>
      </c>
    </row>
    <row r="59" spans="2:4" x14ac:dyDescent="0.2">
      <c r="B59" s="82" t="e">
        <f>VLOOKUP(A59,member!$A$5:$K$1300,3,FALSE)&amp;", "&amp;VLOOKUP(A59,member!$A$5:$K$1300,4,FALSE)</f>
        <v>#N/A</v>
      </c>
      <c r="C59" s="82" t="e">
        <f>VLOOKUP(A59,member!$A$5:$K$1300,9,FALSE)</f>
        <v>#N/A</v>
      </c>
      <c r="D59" s="82" t="e">
        <f>VLOOKUP(A59,member!$A$5:$K$1300,11,FALSE)</f>
        <v>#N/A</v>
      </c>
    </row>
    <row r="60" spans="2:4" x14ac:dyDescent="0.2">
      <c r="B60" s="82" t="e">
        <f>VLOOKUP(A60,member!$A$5:$K$1300,3,FALSE)&amp;", "&amp;VLOOKUP(A60,member!$A$5:$K$1300,4,FALSE)</f>
        <v>#N/A</v>
      </c>
      <c r="C60" s="82" t="e">
        <f>VLOOKUP(A60,member!$A$5:$K$1300,9,FALSE)</f>
        <v>#N/A</v>
      </c>
      <c r="D60" s="82" t="e">
        <f>VLOOKUP(A60,member!$A$5:$K$1300,11,FALSE)</f>
        <v>#N/A</v>
      </c>
    </row>
    <row r="61" spans="2:4" x14ac:dyDescent="0.2">
      <c r="B61" s="82" t="e">
        <f>VLOOKUP(A61,member!$A$5:$K$1300,3,FALSE)&amp;", "&amp;VLOOKUP(A61,member!$A$5:$K$1300,4,FALSE)</f>
        <v>#N/A</v>
      </c>
      <c r="C61" s="82" t="e">
        <f>VLOOKUP(A61,member!$A$5:$K$1300,9,FALSE)</f>
        <v>#N/A</v>
      </c>
      <c r="D61" s="82" t="e">
        <f>VLOOKUP(A61,member!$A$5:$K$1300,11,FALSE)</f>
        <v>#N/A</v>
      </c>
    </row>
    <row r="62" spans="2:4" x14ac:dyDescent="0.2">
      <c r="B62" s="82" t="e">
        <f>VLOOKUP(A62,member!$A$5:$K$1300,3,FALSE)&amp;", "&amp;VLOOKUP(A62,member!$A$5:$K$1300,4,FALSE)</f>
        <v>#N/A</v>
      </c>
      <c r="C62" s="82" t="e">
        <f>VLOOKUP(A62,member!$A$5:$K$1300,9,FALSE)</f>
        <v>#N/A</v>
      </c>
      <c r="D62" s="82" t="e">
        <f>VLOOKUP(A62,member!$A$5:$K$1300,11,FALSE)</f>
        <v>#N/A</v>
      </c>
    </row>
    <row r="63" spans="2:4" x14ac:dyDescent="0.2">
      <c r="B63" s="82" t="e">
        <f>VLOOKUP(A63,member!$A$5:$K$1300,3,FALSE)&amp;", "&amp;VLOOKUP(A63,member!$A$5:$K$1300,4,FALSE)</f>
        <v>#N/A</v>
      </c>
      <c r="C63" s="82" t="e">
        <f>VLOOKUP(A63,member!$A$5:$K$1300,9,FALSE)</f>
        <v>#N/A</v>
      </c>
      <c r="D63" s="82" t="e">
        <f>VLOOKUP(A63,member!$A$5:$K$1300,11,FALSE)</f>
        <v>#N/A</v>
      </c>
    </row>
    <row r="64" spans="2:4" x14ac:dyDescent="0.2">
      <c r="B64" s="82" t="e">
        <f>VLOOKUP(A64,member!$A$5:$K$1300,3,FALSE)&amp;", "&amp;VLOOKUP(A64,member!$A$5:$K$1300,4,FALSE)</f>
        <v>#N/A</v>
      </c>
      <c r="C64" s="82" t="e">
        <f>VLOOKUP(A64,member!$A$5:$K$1300,9,FALSE)</f>
        <v>#N/A</v>
      </c>
      <c r="D64" s="82" t="e">
        <f>VLOOKUP(A64,member!$A$5:$K$1300,11,FALSE)</f>
        <v>#N/A</v>
      </c>
    </row>
    <row r="65" spans="2:4" x14ac:dyDescent="0.2">
      <c r="B65" s="82" t="e">
        <f>VLOOKUP(A65,member!$A$5:$K$1300,3,FALSE)&amp;", "&amp;VLOOKUP(A65,member!$A$5:$K$1300,4,FALSE)</f>
        <v>#N/A</v>
      </c>
      <c r="C65" s="82" t="e">
        <f>VLOOKUP(A65,member!$A$5:$K$1300,9,FALSE)</f>
        <v>#N/A</v>
      </c>
      <c r="D65" s="82" t="e">
        <f>VLOOKUP(A65,member!$A$5:$K$1300,11,FALSE)</f>
        <v>#N/A</v>
      </c>
    </row>
    <row r="66" spans="2:4" x14ac:dyDescent="0.2">
      <c r="B66" s="82" t="e">
        <f>VLOOKUP(A66,member!$A$5:$K$1300,3,FALSE)&amp;", "&amp;VLOOKUP(A66,member!$A$5:$K$1300,4,FALSE)</f>
        <v>#N/A</v>
      </c>
      <c r="C66" s="82" t="e">
        <f>VLOOKUP(A66,member!$A$5:$K$1300,9,FALSE)</f>
        <v>#N/A</v>
      </c>
      <c r="D66" s="82" t="e">
        <f>VLOOKUP(A66,member!$A$5:$K$1300,11,FALSE)</f>
        <v>#N/A</v>
      </c>
    </row>
    <row r="67" spans="2:4" x14ac:dyDescent="0.2">
      <c r="B67" s="82" t="e">
        <f>VLOOKUP(A67,member!$A$5:$K$1300,3,FALSE)&amp;", "&amp;VLOOKUP(A67,member!$A$5:$K$1300,4,FALSE)</f>
        <v>#N/A</v>
      </c>
      <c r="C67" s="82" t="e">
        <f>VLOOKUP(A67,member!$A$5:$K$1300,9,FALSE)</f>
        <v>#N/A</v>
      </c>
      <c r="D67" s="82" t="e">
        <f>VLOOKUP(A67,member!$A$5:$K$1300,11,FALSE)</f>
        <v>#N/A</v>
      </c>
    </row>
    <row r="68" spans="2:4" x14ac:dyDescent="0.2">
      <c r="B68" s="82" t="e">
        <f>VLOOKUP(A68,member!$A$5:$K$1300,3,FALSE)&amp;", "&amp;VLOOKUP(A68,member!$A$5:$K$1300,4,FALSE)</f>
        <v>#N/A</v>
      </c>
      <c r="C68" s="82" t="e">
        <f>VLOOKUP(A68,member!$A$5:$K$1300,9,FALSE)</f>
        <v>#N/A</v>
      </c>
      <c r="D68" s="82" t="e">
        <f>VLOOKUP(A68,member!$A$5:$K$1300,11,FALSE)</f>
        <v>#N/A</v>
      </c>
    </row>
    <row r="69" spans="2:4" x14ac:dyDescent="0.2">
      <c r="B69" s="82" t="e">
        <f>VLOOKUP(A69,member!$A$5:$K$1300,3,FALSE)&amp;", "&amp;VLOOKUP(A69,member!$A$5:$K$1300,4,FALSE)</f>
        <v>#N/A</v>
      </c>
      <c r="C69" s="82" t="e">
        <f>VLOOKUP(A69,member!$A$5:$K$1300,9,FALSE)</f>
        <v>#N/A</v>
      </c>
      <c r="D69" s="82" t="e">
        <f>VLOOKUP(A69,member!$A$5:$K$1300,11,FALSE)</f>
        <v>#N/A</v>
      </c>
    </row>
    <row r="70" spans="2:4" x14ac:dyDescent="0.2">
      <c r="B70" s="82" t="e">
        <f>VLOOKUP(A70,member!$A$5:$K$1300,3,FALSE)&amp;", "&amp;VLOOKUP(A70,member!$A$5:$K$1300,4,FALSE)</f>
        <v>#N/A</v>
      </c>
      <c r="C70" s="82" t="e">
        <f>VLOOKUP(A70,member!$A$5:$K$1300,9,FALSE)</f>
        <v>#N/A</v>
      </c>
      <c r="D70" s="82" t="e">
        <f>VLOOKUP(A70,member!$A$5:$K$1300,11,FALSE)</f>
        <v>#N/A</v>
      </c>
    </row>
    <row r="71" spans="2:4" x14ac:dyDescent="0.2">
      <c r="B71" s="82" t="e">
        <f>VLOOKUP(A71,member!$A$5:$K$1300,3,FALSE)&amp;", "&amp;VLOOKUP(A71,member!$A$5:$K$1300,4,FALSE)</f>
        <v>#N/A</v>
      </c>
      <c r="C71" s="82" t="e">
        <f>VLOOKUP(A71,member!$A$5:$K$1300,9,FALSE)</f>
        <v>#N/A</v>
      </c>
      <c r="D71" s="82" t="e">
        <f>VLOOKUP(A71,member!$A$5:$K$1300,11,FALSE)</f>
        <v>#N/A</v>
      </c>
    </row>
    <row r="72" spans="2:4" x14ac:dyDescent="0.2">
      <c r="B72" s="82" t="e">
        <f>VLOOKUP(A72,member!$A$5:$K$1300,3,FALSE)&amp;", "&amp;VLOOKUP(A72,member!$A$5:$K$1300,4,FALSE)</f>
        <v>#N/A</v>
      </c>
      <c r="C72" s="82" t="e">
        <f>VLOOKUP(A72,member!$A$5:$K$1300,9,FALSE)</f>
        <v>#N/A</v>
      </c>
      <c r="D72" s="82" t="e">
        <f>VLOOKUP(A72,member!$A$5:$K$1300,11,FALSE)</f>
        <v>#N/A</v>
      </c>
    </row>
    <row r="73" spans="2:4" x14ac:dyDescent="0.2">
      <c r="B73" s="82" t="e">
        <f>VLOOKUP(A73,member!$A$5:$K$1300,3,FALSE)&amp;", "&amp;VLOOKUP(A73,member!$A$5:$K$1300,4,FALSE)</f>
        <v>#N/A</v>
      </c>
      <c r="C73" s="82" t="e">
        <f>VLOOKUP(A73,member!$A$5:$K$1300,9,FALSE)</f>
        <v>#N/A</v>
      </c>
      <c r="D73" s="82" t="e">
        <f>VLOOKUP(A73,member!$A$5:$K$1300,11,FALSE)</f>
        <v>#N/A</v>
      </c>
    </row>
    <row r="74" spans="2:4" x14ac:dyDescent="0.2">
      <c r="B74" s="82" t="e">
        <f>VLOOKUP(A74,member!$A$5:$K$1300,3,FALSE)&amp;", "&amp;VLOOKUP(A74,member!$A$5:$K$1300,4,FALSE)</f>
        <v>#N/A</v>
      </c>
      <c r="C74" s="82" t="e">
        <f>VLOOKUP(A74,member!$A$5:$K$1300,9,FALSE)</f>
        <v>#N/A</v>
      </c>
      <c r="D74" s="82" t="e">
        <f>VLOOKUP(A74,member!$A$5:$K$1300,11,FALSE)</f>
        <v>#N/A</v>
      </c>
    </row>
    <row r="75" spans="2:4" x14ac:dyDescent="0.2">
      <c r="B75" s="82" t="e">
        <f>VLOOKUP(A75,member!$A$5:$K$1300,3,FALSE)&amp;", "&amp;VLOOKUP(A75,member!$A$5:$K$1300,4,FALSE)</f>
        <v>#N/A</v>
      </c>
      <c r="C75" s="82" t="e">
        <f>VLOOKUP(A75,member!$A$5:$K$1300,9,FALSE)</f>
        <v>#N/A</v>
      </c>
      <c r="D75" s="82" t="e">
        <f>VLOOKUP(A75,member!$A$5:$K$1300,11,FALSE)</f>
        <v>#N/A</v>
      </c>
    </row>
    <row r="76" spans="2:4" x14ac:dyDescent="0.2">
      <c r="B76" s="82" t="e">
        <f>VLOOKUP(A76,member!$A$5:$K$1300,3,FALSE)&amp;", "&amp;VLOOKUP(A76,member!$A$5:$K$1300,4,FALSE)</f>
        <v>#N/A</v>
      </c>
      <c r="C76" s="82" t="e">
        <f>VLOOKUP(A76,member!$A$5:$K$1300,9,FALSE)</f>
        <v>#N/A</v>
      </c>
      <c r="D76" s="82" t="e">
        <f>VLOOKUP(A76,member!$A$5:$K$1300,11,FALSE)</f>
        <v>#N/A</v>
      </c>
    </row>
    <row r="77" spans="2:4" x14ac:dyDescent="0.2">
      <c r="B77" s="82" t="e">
        <f>VLOOKUP(A77,member!$A$5:$K$1300,3,FALSE)&amp;", "&amp;VLOOKUP(A77,member!$A$5:$K$1300,4,FALSE)</f>
        <v>#N/A</v>
      </c>
      <c r="C77" s="82" t="e">
        <f>VLOOKUP(A77,member!$A$5:$K$1300,9,FALSE)</f>
        <v>#N/A</v>
      </c>
      <c r="D77" s="82" t="e">
        <f>VLOOKUP(A77,member!$A$5:$K$1300,11,FALSE)</f>
        <v>#N/A</v>
      </c>
    </row>
    <row r="78" spans="2:4" x14ac:dyDescent="0.2">
      <c r="B78" s="82" t="e">
        <f>VLOOKUP(A78,member!$A$5:$K$1300,3,FALSE)&amp;", "&amp;VLOOKUP(A78,member!$A$5:$K$1300,4,FALSE)</f>
        <v>#N/A</v>
      </c>
      <c r="C78" s="82" t="e">
        <f>VLOOKUP(A78,member!$A$5:$K$1300,9,FALSE)</f>
        <v>#N/A</v>
      </c>
      <c r="D78" s="82" t="e">
        <f>VLOOKUP(A78,member!$A$5:$K$1300,11,FALSE)</f>
        <v>#N/A</v>
      </c>
    </row>
    <row r="79" spans="2:4" x14ac:dyDescent="0.2">
      <c r="B79" s="82" t="e">
        <f>VLOOKUP(A79,member!$A$5:$K$1300,3,FALSE)&amp;", "&amp;VLOOKUP(A79,member!$A$5:$K$1300,4,FALSE)</f>
        <v>#N/A</v>
      </c>
      <c r="C79" s="82" t="e">
        <f>VLOOKUP(A79,member!$A$5:$K$1300,9,FALSE)</f>
        <v>#N/A</v>
      </c>
      <c r="D79" s="82" t="e">
        <f>VLOOKUP(A79,member!$A$5:$K$1300,11,FALSE)</f>
        <v>#N/A</v>
      </c>
    </row>
    <row r="80" spans="2:4" x14ac:dyDescent="0.2">
      <c r="B80" s="82" t="e">
        <f>VLOOKUP(A80,member!$A$5:$K$1300,3,FALSE)&amp;", "&amp;VLOOKUP(A80,member!$A$5:$K$1300,4,FALSE)</f>
        <v>#N/A</v>
      </c>
      <c r="C80" s="82" t="e">
        <f>VLOOKUP(A80,member!$A$5:$K$1300,9,FALSE)</f>
        <v>#N/A</v>
      </c>
      <c r="D80" s="82" t="e">
        <f>VLOOKUP(A80,member!$A$5:$K$1300,11,FALSE)</f>
        <v>#N/A</v>
      </c>
    </row>
    <row r="81" spans="2:4" x14ac:dyDescent="0.2">
      <c r="B81" s="82" t="e">
        <f>VLOOKUP(A81,member!$A$5:$K$1300,3,FALSE)&amp;", "&amp;VLOOKUP(A81,member!$A$5:$K$1300,4,FALSE)</f>
        <v>#N/A</v>
      </c>
      <c r="C81" s="82" t="e">
        <f>VLOOKUP(A81,member!$A$5:$K$1300,9,FALSE)</f>
        <v>#N/A</v>
      </c>
      <c r="D81" s="82" t="e">
        <f>VLOOKUP(A81,member!$A$5:$K$1300,11,FALSE)</f>
        <v>#N/A</v>
      </c>
    </row>
    <row r="82" spans="2:4" x14ac:dyDescent="0.2">
      <c r="B82" s="82" t="e">
        <f>VLOOKUP(A82,member!$A$5:$K$1300,3,FALSE)&amp;", "&amp;VLOOKUP(A82,member!$A$5:$K$1300,4,FALSE)</f>
        <v>#N/A</v>
      </c>
      <c r="C82" s="82" t="e">
        <f>VLOOKUP(A82,member!$A$5:$K$1300,9,FALSE)</f>
        <v>#N/A</v>
      </c>
      <c r="D82" s="82" t="e">
        <f>VLOOKUP(A82,member!$A$5:$K$1300,11,FALSE)</f>
        <v>#N/A</v>
      </c>
    </row>
    <row r="83" spans="2:4" x14ac:dyDescent="0.2">
      <c r="B83" s="82" t="e">
        <f>VLOOKUP(A83,member!$A$5:$K$1300,3,FALSE)&amp;", "&amp;VLOOKUP(A83,member!$A$5:$K$1300,4,FALSE)</f>
        <v>#N/A</v>
      </c>
      <c r="C83" s="82" t="e">
        <f>VLOOKUP(A83,member!$A$5:$K$1300,9,FALSE)</f>
        <v>#N/A</v>
      </c>
      <c r="D83" s="82" t="e">
        <f>VLOOKUP(A83,member!$A$5:$K$1300,11,FALSE)</f>
        <v>#N/A</v>
      </c>
    </row>
    <row r="84" spans="2:4" x14ac:dyDescent="0.2">
      <c r="B84" s="82" t="e">
        <f>VLOOKUP(A84,member!$A$5:$K$1300,3,FALSE)&amp;", "&amp;VLOOKUP(A84,member!$A$5:$K$1300,4,FALSE)</f>
        <v>#N/A</v>
      </c>
      <c r="C84" s="82" t="e">
        <f>VLOOKUP(A84,member!$A$5:$K$1300,9,FALSE)</f>
        <v>#N/A</v>
      </c>
      <c r="D84" s="82" t="e">
        <f>VLOOKUP(A84,member!$A$5:$K$1300,11,FALSE)</f>
        <v>#N/A</v>
      </c>
    </row>
    <row r="85" spans="2:4" x14ac:dyDescent="0.2">
      <c r="B85" s="82" t="e">
        <f>VLOOKUP(A85,member!$A$5:$K$1300,3,FALSE)&amp;", "&amp;VLOOKUP(A85,member!$A$5:$K$1300,4,FALSE)</f>
        <v>#N/A</v>
      </c>
      <c r="C85" s="82" t="e">
        <f>VLOOKUP(A85,member!$A$5:$K$1300,9,FALSE)</f>
        <v>#N/A</v>
      </c>
      <c r="D85" s="82" t="e">
        <f>VLOOKUP(A85,member!$A$5:$K$1300,11,FALSE)</f>
        <v>#N/A</v>
      </c>
    </row>
    <row r="86" spans="2:4" x14ac:dyDescent="0.2">
      <c r="B86" s="82" t="e">
        <f>VLOOKUP(A86,member!$A$5:$K$1300,3,FALSE)&amp;", "&amp;VLOOKUP(A86,member!$A$5:$K$1300,4,FALSE)</f>
        <v>#N/A</v>
      </c>
      <c r="C86" s="82" t="e">
        <f>VLOOKUP(A86,member!$A$5:$K$1300,9,FALSE)</f>
        <v>#N/A</v>
      </c>
      <c r="D86" s="82" t="e">
        <f>VLOOKUP(A86,member!$A$5:$K$1300,11,FALSE)</f>
        <v>#N/A</v>
      </c>
    </row>
    <row r="87" spans="2:4" x14ac:dyDescent="0.2">
      <c r="B87" s="82" t="e">
        <f>VLOOKUP(A87,member!$A$5:$K$1300,3,FALSE)&amp;", "&amp;VLOOKUP(A87,member!$A$5:$K$1300,4,FALSE)</f>
        <v>#N/A</v>
      </c>
      <c r="C87" s="82" t="e">
        <f>VLOOKUP(A87,member!$A$5:$K$1300,9,FALSE)</f>
        <v>#N/A</v>
      </c>
      <c r="D87" s="82" t="e">
        <f>VLOOKUP(A87,member!$A$5:$K$1300,11,FALSE)</f>
        <v>#N/A</v>
      </c>
    </row>
    <row r="88" spans="2:4" x14ac:dyDescent="0.2">
      <c r="B88" s="82" t="e">
        <f>VLOOKUP(A88,member!$A$5:$K$1300,3,FALSE)&amp;", "&amp;VLOOKUP(A88,member!$A$5:$K$1300,4,FALSE)</f>
        <v>#N/A</v>
      </c>
      <c r="C88" s="82" t="e">
        <f>VLOOKUP(A88,member!$A$5:$K$1300,9,FALSE)</f>
        <v>#N/A</v>
      </c>
      <c r="D88" s="82" t="e">
        <f>VLOOKUP(A88,member!$A$5:$K$1300,11,FALSE)</f>
        <v>#N/A</v>
      </c>
    </row>
    <row r="89" spans="2:4" x14ac:dyDescent="0.2">
      <c r="B89" s="82" t="e">
        <f>VLOOKUP(A89,member!$A$5:$K$1300,3,FALSE)&amp;", "&amp;VLOOKUP(A89,member!$A$5:$K$1300,4,FALSE)</f>
        <v>#N/A</v>
      </c>
      <c r="C89" s="82" t="e">
        <f>VLOOKUP(A89,member!$A$5:$K$1300,9,FALSE)</f>
        <v>#N/A</v>
      </c>
      <c r="D89" s="82" t="e">
        <f>VLOOKUP(A89,member!$A$5:$K$1300,11,FALSE)</f>
        <v>#N/A</v>
      </c>
    </row>
    <row r="90" spans="2:4" x14ac:dyDescent="0.2">
      <c r="B90" s="82" t="e">
        <f>VLOOKUP(A90,member!$A$5:$K$1300,3,FALSE)&amp;", "&amp;VLOOKUP(A90,member!$A$5:$K$1300,4,FALSE)</f>
        <v>#N/A</v>
      </c>
      <c r="C90" s="82" t="e">
        <f>VLOOKUP(A90,member!$A$5:$K$1300,9,FALSE)</f>
        <v>#N/A</v>
      </c>
      <c r="D90" s="82" t="e">
        <f>VLOOKUP(A90,member!$A$5:$K$1300,11,FALSE)</f>
        <v>#N/A</v>
      </c>
    </row>
    <row r="91" spans="2:4" x14ac:dyDescent="0.2">
      <c r="B91" s="82" t="e">
        <f>VLOOKUP(A91,member!$A$5:$K$1300,3,FALSE)&amp;", "&amp;VLOOKUP(A91,member!$A$5:$K$1300,4,FALSE)</f>
        <v>#N/A</v>
      </c>
      <c r="C91" s="82" t="e">
        <f>VLOOKUP(A91,member!$A$5:$K$1300,9,FALSE)</f>
        <v>#N/A</v>
      </c>
      <c r="D91" s="82" t="e">
        <f>VLOOKUP(A91,member!$A$5:$K$1300,11,FALSE)</f>
        <v>#N/A</v>
      </c>
    </row>
    <row r="92" spans="2:4" x14ac:dyDescent="0.2">
      <c r="B92" s="82" t="e">
        <f>VLOOKUP(A92,member!$A$5:$K$1300,3,FALSE)&amp;", "&amp;VLOOKUP(A92,member!$A$5:$K$1300,4,FALSE)</f>
        <v>#N/A</v>
      </c>
      <c r="C92" s="82" t="e">
        <f>VLOOKUP(A92,member!$A$5:$K$1300,9,FALSE)</f>
        <v>#N/A</v>
      </c>
      <c r="D92" s="82" t="e">
        <f>VLOOKUP(A92,member!$A$5:$K$1300,11,FALSE)</f>
        <v>#N/A</v>
      </c>
    </row>
    <row r="93" spans="2:4" x14ac:dyDescent="0.2">
      <c r="B93" s="82" t="e">
        <f>VLOOKUP(A93,member!$A$5:$K$1300,3,FALSE)&amp;", "&amp;VLOOKUP(A93,member!$A$5:$K$1300,4,FALSE)</f>
        <v>#N/A</v>
      </c>
      <c r="C93" s="82" t="e">
        <f>VLOOKUP(A93,member!$A$5:$K$1300,9,FALSE)</f>
        <v>#N/A</v>
      </c>
      <c r="D93" s="82" t="e">
        <f>VLOOKUP(A93,member!$A$5:$K$1300,11,FALSE)</f>
        <v>#N/A</v>
      </c>
    </row>
    <row r="94" spans="2:4" x14ac:dyDescent="0.2">
      <c r="B94" s="82" t="e">
        <f>VLOOKUP(A94,member!$A$5:$K$1300,3,FALSE)&amp;", "&amp;VLOOKUP(A94,member!$A$5:$K$1300,4,FALSE)</f>
        <v>#N/A</v>
      </c>
      <c r="C94" s="82" t="e">
        <f>VLOOKUP(A94,member!$A$5:$K$1300,9,FALSE)</f>
        <v>#N/A</v>
      </c>
      <c r="D94" s="82" t="e">
        <f>VLOOKUP(A94,member!$A$5:$K$1300,11,FALSE)</f>
        <v>#N/A</v>
      </c>
    </row>
    <row r="95" spans="2:4" x14ac:dyDescent="0.2">
      <c r="B95" s="82" t="e">
        <f>VLOOKUP(A95,member!$A$5:$K$1300,3,FALSE)&amp;", "&amp;VLOOKUP(A95,member!$A$5:$K$1300,4,FALSE)</f>
        <v>#N/A</v>
      </c>
      <c r="C95" s="82" t="e">
        <f>VLOOKUP(A95,member!$A$5:$K$1300,9,FALSE)</f>
        <v>#N/A</v>
      </c>
      <c r="D95" s="82" t="e">
        <f>VLOOKUP(A95,member!$A$5:$K$1300,11,FALSE)</f>
        <v>#N/A</v>
      </c>
    </row>
    <row r="96" spans="2:4" x14ac:dyDescent="0.2">
      <c r="B96" s="82" t="e">
        <f>VLOOKUP(A96,member!$A$5:$K$1300,3,FALSE)&amp;", "&amp;VLOOKUP(A96,member!$A$5:$K$1300,4,FALSE)</f>
        <v>#N/A</v>
      </c>
      <c r="C96" s="82" t="e">
        <f>VLOOKUP(A96,member!$A$5:$K$1300,9,FALSE)</f>
        <v>#N/A</v>
      </c>
      <c r="D96" s="82" t="e">
        <f>VLOOKUP(A96,member!$A$5:$K$1300,11,FALSE)</f>
        <v>#N/A</v>
      </c>
    </row>
  </sheetData>
  <conditionalFormatting sqref="A1:A32">
    <cfRule type="duplicateValues" dxfId="1" priority="1" stopIfTrue="1"/>
  </conditionalFormatting>
  <conditionalFormatting sqref="A33:A6553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F5AB6-290C-4821-915F-D99DF385B49A}">
  <dimension ref="A1:Q1286"/>
  <sheetViews>
    <sheetView workbookViewId="0">
      <selection activeCell="C4" sqref="C4"/>
    </sheetView>
  </sheetViews>
  <sheetFormatPr baseColWidth="10" defaultRowHeight="12.75" x14ac:dyDescent="0.2"/>
  <cols>
    <col min="1" max="1" width="7.5703125" style="245" customWidth="1"/>
    <col min="2" max="2" width="8.140625" style="240" customWidth="1"/>
    <col min="3" max="3" width="17.28515625" style="241" bestFit="1" customWidth="1"/>
    <col min="4" max="4" width="14.85546875" style="242" bestFit="1" customWidth="1"/>
    <col min="5" max="5" width="4.42578125" style="242" bestFit="1" customWidth="1"/>
    <col min="6" max="6" width="4.42578125" style="244" customWidth="1"/>
    <col min="7" max="7" width="13.85546875" style="275" customWidth="1"/>
    <col min="8" max="8" width="4.140625" style="242" customWidth="1"/>
    <col min="9" max="9" width="24.140625" style="242" bestFit="1" customWidth="1"/>
    <col min="10" max="10" width="27.7109375" style="240" customWidth="1"/>
    <col min="11" max="11" width="8.85546875" style="243" customWidth="1"/>
    <col min="12" max="12" width="6.140625" style="282" customWidth="1"/>
    <col min="13" max="16384" width="11.42578125" style="282"/>
  </cols>
  <sheetData>
    <row r="1" spans="1:17" s="277" customFormat="1" ht="22.5" customHeight="1" x14ac:dyDescent="0.25">
      <c r="A1" s="239" t="s">
        <v>2417</v>
      </c>
      <c r="B1" s="240"/>
      <c r="C1" s="241"/>
      <c r="D1" s="242"/>
      <c r="E1" s="242"/>
      <c r="F1" s="243"/>
      <c r="G1" s="242"/>
      <c r="H1" s="242"/>
      <c r="I1" s="244"/>
      <c r="J1" s="240"/>
      <c r="K1" s="243"/>
    </row>
    <row r="2" spans="1:17" s="278" customFormat="1" ht="21" customHeight="1" x14ac:dyDescent="0.25">
      <c r="A2" s="245" t="s">
        <v>2418</v>
      </c>
      <c r="B2" s="240"/>
      <c r="C2" s="241"/>
      <c r="D2" s="242"/>
      <c r="E2" s="242"/>
      <c r="F2" s="243"/>
      <c r="G2" s="242"/>
      <c r="H2" s="242"/>
      <c r="I2" s="244"/>
      <c r="J2" s="240"/>
      <c r="K2" s="243"/>
    </row>
    <row r="3" spans="1:17" s="278" customFormat="1" ht="21" customHeight="1" x14ac:dyDescent="0.25">
      <c r="A3" s="245" t="s">
        <v>1865</v>
      </c>
      <c r="B3" s="240"/>
      <c r="C3" s="241"/>
      <c r="D3" s="242"/>
      <c r="E3" s="242"/>
      <c r="F3" s="243"/>
      <c r="G3" s="244"/>
      <c r="H3" s="242"/>
      <c r="I3" s="244"/>
      <c r="J3" s="240"/>
      <c r="K3" s="243"/>
    </row>
    <row r="4" spans="1:17" ht="39" x14ac:dyDescent="0.2">
      <c r="A4" s="246" t="s">
        <v>30</v>
      </c>
      <c r="B4" s="236" t="s">
        <v>31</v>
      </c>
      <c r="C4" s="236" t="s">
        <v>32</v>
      </c>
      <c r="D4" s="236" t="s">
        <v>33</v>
      </c>
      <c r="E4" s="237" t="s">
        <v>34</v>
      </c>
      <c r="F4" s="237" t="s">
        <v>35</v>
      </c>
      <c r="G4" s="237" t="s">
        <v>36</v>
      </c>
      <c r="H4" s="247" t="s">
        <v>37</v>
      </c>
      <c r="I4" s="238" t="s">
        <v>38</v>
      </c>
      <c r="J4" s="238" t="s">
        <v>39</v>
      </c>
      <c r="K4" s="248" t="s">
        <v>2373</v>
      </c>
      <c r="L4" s="279"/>
      <c r="M4" s="280"/>
      <c r="N4" s="281"/>
      <c r="Q4" s="283"/>
    </row>
    <row r="5" spans="1:17" ht="12.75" customHeight="1" x14ac:dyDescent="0.2">
      <c r="A5" s="249">
        <v>38175</v>
      </c>
      <c r="B5" s="250" t="s">
        <v>40</v>
      </c>
      <c r="C5" s="251" t="s">
        <v>41</v>
      </c>
      <c r="D5" s="251" t="s">
        <v>42</v>
      </c>
      <c r="E5" s="251"/>
      <c r="F5" s="252" t="s">
        <v>43</v>
      </c>
      <c r="G5" s="284" t="s">
        <v>44</v>
      </c>
      <c r="H5" s="285" t="s">
        <v>66</v>
      </c>
      <c r="I5" s="251" t="s">
        <v>46</v>
      </c>
      <c r="J5" s="251" t="s">
        <v>47</v>
      </c>
      <c r="K5" s="255" t="s">
        <v>48</v>
      </c>
    </row>
    <row r="6" spans="1:17" ht="12.75" customHeight="1" x14ac:dyDescent="0.2">
      <c r="A6" s="249">
        <v>38730</v>
      </c>
      <c r="B6" s="250" t="s">
        <v>1866</v>
      </c>
      <c r="C6" s="257" t="s">
        <v>1867</v>
      </c>
      <c r="D6" s="257" t="s">
        <v>1868</v>
      </c>
      <c r="E6" s="257" t="s">
        <v>2374</v>
      </c>
      <c r="F6" s="252" t="s">
        <v>43</v>
      </c>
      <c r="G6" s="284" t="s">
        <v>44</v>
      </c>
      <c r="H6" s="285" t="s">
        <v>180</v>
      </c>
      <c r="I6" s="257" t="s">
        <v>46</v>
      </c>
      <c r="J6" s="257" t="s">
        <v>47</v>
      </c>
      <c r="K6" s="255" t="s">
        <v>48</v>
      </c>
      <c r="M6" s="286" t="s">
        <v>2419</v>
      </c>
      <c r="N6" s="286"/>
    </row>
    <row r="7" spans="1:17" ht="12.75" customHeight="1" x14ac:dyDescent="0.2">
      <c r="A7" s="249">
        <v>3175</v>
      </c>
      <c r="B7" s="250" t="s">
        <v>2420</v>
      </c>
      <c r="C7" s="250" t="s">
        <v>2421</v>
      </c>
      <c r="D7" s="250" t="s">
        <v>117</v>
      </c>
      <c r="E7" s="256"/>
      <c r="F7" s="252" t="s">
        <v>43</v>
      </c>
      <c r="G7" s="284" t="s">
        <v>67</v>
      </c>
      <c r="H7" s="285"/>
      <c r="I7" s="251" t="s">
        <v>46</v>
      </c>
      <c r="J7" s="251" t="s">
        <v>47</v>
      </c>
      <c r="K7" s="255" t="s">
        <v>48</v>
      </c>
    </row>
    <row r="8" spans="1:17" ht="12.75" customHeight="1" x14ac:dyDescent="0.2">
      <c r="A8" s="249">
        <v>7306</v>
      </c>
      <c r="B8" s="250" t="s">
        <v>54</v>
      </c>
      <c r="C8" s="251" t="s">
        <v>55</v>
      </c>
      <c r="D8" s="251" t="s">
        <v>56</v>
      </c>
      <c r="E8" s="251"/>
      <c r="F8" s="252" t="s">
        <v>49</v>
      </c>
      <c r="G8" s="284" t="s">
        <v>50</v>
      </c>
      <c r="H8" s="285" t="s">
        <v>45</v>
      </c>
      <c r="I8" s="251" t="s">
        <v>46</v>
      </c>
      <c r="J8" s="251" t="s">
        <v>47</v>
      </c>
      <c r="K8" s="255" t="s">
        <v>48</v>
      </c>
    </row>
    <row r="9" spans="1:17" ht="12.75" customHeight="1" x14ac:dyDescent="0.2">
      <c r="A9" s="249">
        <v>38591</v>
      </c>
      <c r="B9" s="250" t="s">
        <v>2327</v>
      </c>
      <c r="C9" s="251" t="s">
        <v>60</v>
      </c>
      <c r="D9" s="251" t="s">
        <v>61</v>
      </c>
      <c r="E9" s="251"/>
      <c r="F9" s="252" t="s">
        <v>43</v>
      </c>
      <c r="G9" s="284" t="s">
        <v>44</v>
      </c>
      <c r="H9" s="285"/>
      <c r="I9" s="251" t="s">
        <v>46</v>
      </c>
      <c r="J9" s="251" t="s">
        <v>47</v>
      </c>
      <c r="K9" s="255" t="s">
        <v>48</v>
      </c>
    </row>
    <row r="10" spans="1:17" ht="12.75" customHeight="1" x14ac:dyDescent="0.2">
      <c r="A10" s="249">
        <v>25487</v>
      </c>
      <c r="B10" s="250" t="s">
        <v>62</v>
      </c>
      <c r="C10" s="251" t="s">
        <v>63</v>
      </c>
      <c r="D10" s="251" t="s">
        <v>64</v>
      </c>
      <c r="E10" s="251"/>
      <c r="F10" s="252" t="s">
        <v>43</v>
      </c>
      <c r="G10" s="284" t="s">
        <v>44</v>
      </c>
      <c r="H10" s="285" t="s">
        <v>45</v>
      </c>
      <c r="I10" s="251" t="s">
        <v>46</v>
      </c>
      <c r="J10" s="251" t="s">
        <v>47</v>
      </c>
      <c r="K10" s="255" t="s">
        <v>48</v>
      </c>
    </row>
    <row r="11" spans="1:17" ht="12.75" customHeight="1" x14ac:dyDescent="0.2">
      <c r="A11" s="249">
        <v>7291</v>
      </c>
      <c r="B11" s="250" t="s">
        <v>68</v>
      </c>
      <c r="C11" s="251" t="s">
        <v>69</v>
      </c>
      <c r="D11" s="251" t="s">
        <v>70</v>
      </c>
      <c r="E11" s="251"/>
      <c r="F11" s="252" t="s">
        <v>43</v>
      </c>
      <c r="G11" s="284" t="s">
        <v>58</v>
      </c>
      <c r="H11" s="285" t="s">
        <v>45</v>
      </c>
      <c r="I11" s="251" t="s">
        <v>46</v>
      </c>
      <c r="J11" s="251" t="s">
        <v>47</v>
      </c>
      <c r="K11" s="255" t="s">
        <v>48</v>
      </c>
    </row>
    <row r="12" spans="1:17" ht="12.75" customHeight="1" x14ac:dyDescent="0.2">
      <c r="A12" s="249">
        <v>25445</v>
      </c>
      <c r="B12" s="250" t="s">
        <v>76</v>
      </c>
      <c r="C12" s="251" t="s">
        <v>69</v>
      </c>
      <c r="D12" s="251" t="s">
        <v>77</v>
      </c>
      <c r="E12" s="251"/>
      <c r="F12" s="252" t="s">
        <v>49</v>
      </c>
      <c r="G12" s="284" t="s">
        <v>228</v>
      </c>
      <c r="H12" s="285" t="s">
        <v>51</v>
      </c>
      <c r="I12" s="251" t="s">
        <v>46</v>
      </c>
      <c r="J12" s="251" t="s">
        <v>47</v>
      </c>
      <c r="K12" s="255" t="s">
        <v>48</v>
      </c>
    </row>
    <row r="13" spans="1:17" ht="12.75" customHeight="1" x14ac:dyDescent="0.2">
      <c r="A13" s="249">
        <v>38859</v>
      </c>
      <c r="B13" s="250" t="s">
        <v>2253</v>
      </c>
      <c r="C13" s="251" t="s">
        <v>2254</v>
      </c>
      <c r="D13" s="251" t="s">
        <v>99</v>
      </c>
      <c r="E13" s="251"/>
      <c r="F13" s="252" t="s">
        <v>43</v>
      </c>
      <c r="G13" s="284" t="s">
        <v>44</v>
      </c>
      <c r="H13" s="285" t="s">
        <v>66</v>
      </c>
      <c r="I13" s="251" t="s">
        <v>46</v>
      </c>
      <c r="J13" s="251" t="s">
        <v>47</v>
      </c>
      <c r="K13" s="255" t="s">
        <v>48</v>
      </c>
    </row>
    <row r="14" spans="1:17" ht="12.75" customHeight="1" x14ac:dyDescent="0.2">
      <c r="A14" s="249">
        <v>7295</v>
      </c>
      <c r="B14" s="250" t="s">
        <v>71</v>
      </c>
      <c r="C14" s="251" t="s">
        <v>72</v>
      </c>
      <c r="D14" s="251" t="s">
        <v>73</v>
      </c>
      <c r="E14" s="251"/>
      <c r="F14" s="252" t="s">
        <v>43</v>
      </c>
      <c r="G14" s="284" t="s">
        <v>58</v>
      </c>
      <c r="H14" s="285" t="s">
        <v>45</v>
      </c>
      <c r="I14" s="251" t="s">
        <v>46</v>
      </c>
      <c r="J14" s="251" t="s">
        <v>47</v>
      </c>
      <c r="K14" s="255" t="s">
        <v>48</v>
      </c>
      <c r="L14" s="281"/>
      <c r="M14" s="281"/>
      <c r="N14" s="281"/>
      <c r="Q14" s="283"/>
    </row>
    <row r="15" spans="1:17" ht="12.75" customHeight="1" x14ac:dyDescent="0.2">
      <c r="A15" s="249">
        <v>29170</v>
      </c>
      <c r="B15" s="250" t="s">
        <v>2375</v>
      </c>
      <c r="C15" s="257" t="s">
        <v>74</v>
      </c>
      <c r="D15" s="257" t="s">
        <v>75</v>
      </c>
      <c r="E15" s="257" t="s">
        <v>2374</v>
      </c>
      <c r="F15" s="252" t="s">
        <v>43</v>
      </c>
      <c r="G15" s="284" t="s">
        <v>52</v>
      </c>
      <c r="H15" s="285"/>
      <c r="I15" s="257" t="s">
        <v>46</v>
      </c>
      <c r="J15" s="257" t="s">
        <v>47</v>
      </c>
      <c r="K15" s="255" t="s">
        <v>48</v>
      </c>
      <c r="L15" s="281"/>
      <c r="M15" s="281"/>
      <c r="N15" s="281"/>
      <c r="Q15" s="283"/>
    </row>
    <row r="16" spans="1:17" ht="12.75" customHeight="1" x14ac:dyDescent="0.2">
      <c r="A16" s="249">
        <v>38592</v>
      </c>
      <c r="B16" s="250" t="s">
        <v>2328</v>
      </c>
      <c r="C16" s="251" t="s">
        <v>2329</v>
      </c>
      <c r="D16" s="251" t="s">
        <v>78</v>
      </c>
      <c r="E16" s="251"/>
      <c r="F16" s="252" t="s">
        <v>49</v>
      </c>
      <c r="G16" s="284" t="s">
        <v>79</v>
      </c>
      <c r="H16" s="285"/>
      <c r="I16" s="251" t="s">
        <v>46</v>
      </c>
      <c r="J16" s="251" t="s">
        <v>47</v>
      </c>
      <c r="K16" s="255" t="s">
        <v>48</v>
      </c>
      <c r="L16" s="281"/>
      <c r="M16" s="281"/>
      <c r="N16" s="281"/>
      <c r="Q16" s="283"/>
    </row>
    <row r="17" spans="1:17" ht="12.75" customHeight="1" x14ac:dyDescent="0.2">
      <c r="A17" s="249">
        <v>38771</v>
      </c>
      <c r="B17" s="250" t="s">
        <v>2027</v>
      </c>
      <c r="C17" s="251" t="s">
        <v>2028</v>
      </c>
      <c r="D17" s="251" t="s">
        <v>2029</v>
      </c>
      <c r="E17" s="251"/>
      <c r="F17" s="252" t="s">
        <v>43</v>
      </c>
      <c r="G17" s="284" t="s">
        <v>94</v>
      </c>
      <c r="H17" s="285" t="s">
        <v>45</v>
      </c>
      <c r="I17" s="251" t="s">
        <v>83</v>
      </c>
      <c r="J17" s="251" t="s">
        <v>84</v>
      </c>
      <c r="K17" s="255" t="s">
        <v>85</v>
      </c>
      <c r="L17" s="281"/>
      <c r="M17" s="281"/>
      <c r="N17" s="281"/>
      <c r="Q17" s="283"/>
    </row>
    <row r="18" spans="1:17" ht="12.75" customHeight="1" x14ac:dyDescent="0.2">
      <c r="A18" s="249">
        <v>38861</v>
      </c>
      <c r="B18" s="250" t="s">
        <v>2302</v>
      </c>
      <c r="C18" s="251" t="s">
        <v>2303</v>
      </c>
      <c r="D18" s="251" t="s">
        <v>806</v>
      </c>
      <c r="E18" s="251"/>
      <c r="F18" s="252" t="s">
        <v>43</v>
      </c>
      <c r="G18" s="284" t="s">
        <v>360</v>
      </c>
      <c r="H18" s="285" t="s">
        <v>104</v>
      </c>
      <c r="I18" s="251" t="s">
        <v>83</v>
      </c>
      <c r="J18" s="251" t="s">
        <v>84</v>
      </c>
      <c r="K18" s="255" t="s">
        <v>85</v>
      </c>
      <c r="L18" s="281"/>
      <c r="M18" s="281"/>
      <c r="N18" s="281"/>
      <c r="Q18" s="283"/>
    </row>
    <row r="19" spans="1:17" ht="12.75" customHeight="1" x14ac:dyDescent="0.2">
      <c r="A19" s="249">
        <v>25917</v>
      </c>
      <c r="B19" s="250" t="s">
        <v>2093</v>
      </c>
      <c r="C19" s="251" t="s">
        <v>2094</v>
      </c>
      <c r="D19" s="251" t="s">
        <v>75</v>
      </c>
      <c r="E19" s="251"/>
      <c r="F19" s="252" t="s">
        <v>43</v>
      </c>
      <c r="G19" s="284" t="s">
        <v>44</v>
      </c>
      <c r="H19" s="285" t="s">
        <v>45</v>
      </c>
      <c r="I19" s="251" t="s">
        <v>83</v>
      </c>
      <c r="J19" s="251" t="s">
        <v>84</v>
      </c>
      <c r="K19" s="255" t="s">
        <v>85</v>
      </c>
    </row>
    <row r="20" spans="1:17" ht="12.75" customHeight="1" x14ac:dyDescent="0.2">
      <c r="A20" s="249">
        <v>38761</v>
      </c>
      <c r="B20" s="250" t="s">
        <v>1957</v>
      </c>
      <c r="C20" s="251" t="s">
        <v>1958</v>
      </c>
      <c r="D20" s="251" t="s">
        <v>1959</v>
      </c>
      <c r="E20" s="251"/>
      <c r="F20" s="252" t="s">
        <v>43</v>
      </c>
      <c r="G20" s="284" t="s">
        <v>44</v>
      </c>
      <c r="H20" s="285"/>
      <c r="I20" s="251" t="s">
        <v>83</v>
      </c>
      <c r="J20" s="251" t="s">
        <v>84</v>
      </c>
      <c r="K20" s="255" t="s">
        <v>85</v>
      </c>
    </row>
    <row r="21" spans="1:17" ht="12.75" customHeight="1" x14ac:dyDescent="0.2">
      <c r="A21" s="249">
        <v>38855</v>
      </c>
      <c r="B21" s="250" t="s">
        <v>2255</v>
      </c>
      <c r="C21" s="251" t="s">
        <v>2256</v>
      </c>
      <c r="D21" s="251" t="s">
        <v>950</v>
      </c>
      <c r="E21" s="251"/>
      <c r="F21" s="252" t="s">
        <v>43</v>
      </c>
      <c r="G21" s="284" t="s">
        <v>94</v>
      </c>
      <c r="H21" s="285" t="s">
        <v>51</v>
      </c>
      <c r="I21" s="251" t="s">
        <v>83</v>
      </c>
      <c r="J21" s="251" t="s">
        <v>84</v>
      </c>
      <c r="K21" s="255" t="s">
        <v>85</v>
      </c>
    </row>
    <row r="22" spans="1:17" ht="12.75" customHeight="1" x14ac:dyDescent="0.2">
      <c r="A22" s="249">
        <v>38001</v>
      </c>
      <c r="B22" s="250" t="s">
        <v>91</v>
      </c>
      <c r="C22" s="257" t="s">
        <v>92</v>
      </c>
      <c r="D22" s="257" t="s">
        <v>93</v>
      </c>
      <c r="E22" s="257" t="s">
        <v>2374</v>
      </c>
      <c r="F22" s="252" t="s">
        <v>43</v>
      </c>
      <c r="G22" s="284" t="s">
        <v>44</v>
      </c>
      <c r="H22" s="285" t="s">
        <v>180</v>
      </c>
      <c r="I22" s="257" t="s">
        <v>83</v>
      </c>
      <c r="J22" s="257" t="s">
        <v>84</v>
      </c>
      <c r="K22" s="255" t="s">
        <v>85</v>
      </c>
    </row>
    <row r="23" spans="1:17" s="278" customFormat="1" ht="12.75" customHeight="1" x14ac:dyDescent="0.25">
      <c r="A23" s="249">
        <v>16336</v>
      </c>
      <c r="B23" s="250" t="s">
        <v>95</v>
      </c>
      <c r="C23" s="251" t="s">
        <v>96</v>
      </c>
      <c r="D23" s="251" t="s">
        <v>97</v>
      </c>
      <c r="E23" s="251"/>
      <c r="F23" s="252" t="s">
        <v>43</v>
      </c>
      <c r="G23" s="284" t="s">
        <v>67</v>
      </c>
      <c r="H23" s="285" t="s">
        <v>66</v>
      </c>
      <c r="I23" s="251" t="s">
        <v>83</v>
      </c>
      <c r="J23" s="251" t="s">
        <v>84</v>
      </c>
      <c r="K23" s="255" t="s">
        <v>85</v>
      </c>
    </row>
    <row r="24" spans="1:17" ht="12.75" customHeight="1" x14ac:dyDescent="0.2">
      <c r="A24" s="249">
        <v>38845</v>
      </c>
      <c r="B24" s="250" t="s">
        <v>2102</v>
      </c>
      <c r="C24" s="251" t="s">
        <v>2103</v>
      </c>
      <c r="D24" s="251" t="s">
        <v>2104</v>
      </c>
      <c r="E24" s="251"/>
      <c r="F24" s="252" t="s">
        <v>43</v>
      </c>
      <c r="G24" s="284" t="s">
        <v>89</v>
      </c>
      <c r="H24" s="285" t="s">
        <v>51</v>
      </c>
      <c r="I24" s="251" t="s">
        <v>83</v>
      </c>
      <c r="J24" s="251" t="s">
        <v>84</v>
      </c>
      <c r="K24" s="255" t="s">
        <v>85</v>
      </c>
      <c r="L24" s="281"/>
      <c r="M24" s="281"/>
      <c r="N24" s="281"/>
      <c r="Q24" s="283"/>
    </row>
    <row r="25" spans="1:17" ht="12.75" customHeight="1" x14ac:dyDescent="0.2">
      <c r="A25" s="249">
        <v>38843</v>
      </c>
      <c r="B25" s="250" t="s">
        <v>2105</v>
      </c>
      <c r="C25" s="251" t="s">
        <v>2106</v>
      </c>
      <c r="D25" s="251" t="s">
        <v>2107</v>
      </c>
      <c r="E25" s="251"/>
      <c r="F25" s="252" t="s">
        <v>49</v>
      </c>
      <c r="G25" s="284" t="s">
        <v>773</v>
      </c>
      <c r="H25" s="285" t="s">
        <v>104</v>
      </c>
      <c r="I25" s="251" t="s">
        <v>83</v>
      </c>
      <c r="J25" s="251" t="s">
        <v>84</v>
      </c>
      <c r="K25" s="255" t="s">
        <v>85</v>
      </c>
      <c r="L25" s="281"/>
      <c r="M25" s="281"/>
      <c r="N25" s="281"/>
      <c r="Q25" s="283"/>
    </row>
    <row r="26" spans="1:17" ht="12.75" customHeight="1" x14ac:dyDescent="0.2">
      <c r="A26" s="249">
        <v>38844</v>
      </c>
      <c r="B26" s="250" t="s">
        <v>2108</v>
      </c>
      <c r="C26" s="251" t="s">
        <v>2109</v>
      </c>
      <c r="D26" s="251" t="s">
        <v>667</v>
      </c>
      <c r="E26" s="251"/>
      <c r="F26" s="252" t="s">
        <v>43</v>
      </c>
      <c r="G26" s="284" t="s">
        <v>360</v>
      </c>
      <c r="H26" s="285" t="s">
        <v>45</v>
      </c>
      <c r="I26" s="251" t="s">
        <v>83</v>
      </c>
      <c r="J26" s="251" t="s">
        <v>84</v>
      </c>
      <c r="K26" s="255" t="s">
        <v>85</v>
      </c>
      <c r="L26" s="281"/>
      <c r="M26" s="281"/>
      <c r="N26" s="281"/>
      <c r="Q26" s="283"/>
    </row>
    <row r="27" spans="1:17" ht="12.75" customHeight="1" x14ac:dyDescent="0.2">
      <c r="A27" s="249">
        <v>25691</v>
      </c>
      <c r="B27" s="250" t="s">
        <v>2304</v>
      </c>
      <c r="C27" s="251" t="s">
        <v>2109</v>
      </c>
      <c r="D27" s="251" t="s">
        <v>143</v>
      </c>
      <c r="E27" s="251"/>
      <c r="F27" s="252" t="s">
        <v>43</v>
      </c>
      <c r="G27" s="284" t="s">
        <v>67</v>
      </c>
      <c r="H27" s="285" t="s">
        <v>45</v>
      </c>
      <c r="I27" s="251" t="s">
        <v>83</v>
      </c>
      <c r="J27" s="251" t="s">
        <v>84</v>
      </c>
      <c r="K27" s="255" t="s">
        <v>85</v>
      </c>
      <c r="L27" s="281"/>
      <c r="M27" s="281"/>
      <c r="N27" s="281"/>
      <c r="Q27" s="283"/>
    </row>
    <row r="28" spans="1:17" ht="12.75" customHeight="1" x14ac:dyDescent="0.2">
      <c r="A28" s="249">
        <v>38902</v>
      </c>
      <c r="B28" s="250" t="s">
        <v>2376</v>
      </c>
      <c r="C28" s="251" t="s">
        <v>2377</v>
      </c>
      <c r="D28" s="251" t="s">
        <v>1375</v>
      </c>
      <c r="E28" s="251"/>
      <c r="F28" s="252" t="s">
        <v>43</v>
      </c>
      <c r="G28" s="284" t="s">
        <v>44</v>
      </c>
      <c r="H28" s="285"/>
      <c r="I28" s="251" t="s">
        <v>83</v>
      </c>
      <c r="J28" s="251" t="s">
        <v>84</v>
      </c>
      <c r="K28" s="255" t="s">
        <v>85</v>
      </c>
      <c r="L28" s="281"/>
      <c r="M28" s="281"/>
      <c r="N28" s="281"/>
      <c r="Q28" s="283"/>
    </row>
    <row r="29" spans="1:17" ht="12.75" customHeight="1" x14ac:dyDescent="0.2">
      <c r="A29" s="249">
        <v>28367</v>
      </c>
      <c r="B29" s="250" t="s">
        <v>1634</v>
      </c>
      <c r="C29" s="251" t="s">
        <v>500</v>
      </c>
      <c r="D29" s="251" t="s">
        <v>53</v>
      </c>
      <c r="E29" s="251"/>
      <c r="F29" s="252" t="s">
        <v>43</v>
      </c>
      <c r="G29" s="284" t="s">
        <v>44</v>
      </c>
      <c r="H29" s="285" t="s">
        <v>239</v>
      </c>
      <c r="I29" s="251" t="s">
        <v>83</v>
      </c>
      <c r="J29" s="251" t="s">
        <v>84</v>
      </c>
      <c r="K29" s="255" t="s">
        <v>85</v>
      </c>
      <c r="L29" s="281"/>
      <c r="M29" s="281"/>
      <c r="N29" s="281"/>
      <c r="Q29" s="283"/>
    </row>
    <row r="30" spans="1:17" ht="12.75" customHeight="1" x14ac:dyDescent="0.2">
      <c r="A30" s="249">
        <v>25005</v>
      </c>
      <c r="B30" s="250" t="s">
        <v>548</v>
      </c>
      <c r="C30" s="251" t="s">
        <v>549</v>
      </c>
      <c r="D30" s="251" t="s">
        <v>550</v>
      </c>
      <c r="E30" s="251"/>
      <c r="F30" s="252" t="s">
        <v>43</v>
      </c>
      <c r="G30" s="284" t="s">
        <v>67</v>
      </c>
      <c r="H30" s="285" t="s">
        <v>66</v>
      </c>
      <c r="I30" s="251" t="s">
        <v>83</v>
      </c>
      <c r="J30" s="251" t="s">
        <v>84</v>
      </c>
      <c r="K30" s="255" t="s">
        <v>85</v>
      </c>
    </row>
    <row r="31" spans="1:17" ht="12.75" customHeight="1" x14ac:dyDescent="0.2">
      <c r="A31" s="249">
        <v>38893</v>
      </c>
      <c r="B31" s="250" t="s">
        <v>2378</v>
      </c>
      <c r="C31" s="251" t="s">
        <v>2379</v>
      </c>
      <c r="D31" s="251" t="s">
        <v>2380</v>
      </c>
      <c r="E31" s="251"/>
      <c r="F31" s="252" t="s">
        <v>43</v>
      </c>
      <c r="G31" s="284" t="s">
        <v>2052</v>
      </c>
      <c r="H31" s="285"/>
      <c r="I31" s="251" t="s">
        <v>83</v>
      </c>
      <c r="J31" s="251" t="s">
        <v>84</v>
      </c>
      <c r="K31" s="255" t="s">
        <v>85</v>
      </c>
      <c r="L31" s="281"/>
      <c r="M31" s="281"/>
      <c r="N31" s="281"/>
      <c r="Q31" s="283"/>
    </row>
    <row r="32" spans="1:17" ht="12.75" customHeight="1" x14ac:dyDescent="0.2">
      <c r="A32" s="249">
        <v>7646</v>
      </c>
      <c r="B32" s="250" t="s">
        <v>100</v>
      </c>
      <c r="C32" s="251" t="s">
        <v>101</v>
      </c>
      <c r="D32" s="251" t="s">
        <v>87</v>
      </c>
      <c r="E32" s="251"/>
      <c r="F32" s="252" t="s">
        <v>43</v>
      </c>
      <c r="G32" s="284" t="s">
        <v>67</v>
      </c>
      <c r="H32" s="285" t="s">
        <v>66</v>
      </c>
      <c r="I32" s="251" t="s">
        <v>83</v>
      </c>
      <c r="J32" s="251" t="s">
        <v>84</v>
      </c>
      <c r="K32" s="255" t="s">
        <v>85</v>
      </c>
      <c r="L32" s="281"/>
      <c r="M32" s="281"/>
      <c r="N32" s="281"/>
      <c r="Q32" s="283"/>
    </row>
    <row r="33" spans="1:17" ht="12.75" customHeight="1" x14ac:dyDescent="0.2">
      <c r="A33" s="249">
        <v>25690</v>
      </c>
      <c r="B33" s="250" t="s">
        <v>1142</v>
      </c>
      <c r="C33" s="251" t="s">
        <v>1143</v>
      </c>
      <c r="D33" s="251" t="s">
        <v>93</v>
      </c>
      <c r="E33" s="251"/>
      <c r="F33" s="252" t="s">
        <v>43</v>
      </c>
      <c r="G33" s="284" t="s">
        <v>44</v>
      </c>
      <c r="H33" s="285" t="s">
        <v>180</v>
      </c>
      <c r="I33" s="251" t="s">
        <v>83</v>
      </c>
      <c r="J33" s="251" t="s">
        <v>84</v>
      </c>
      <c r="K33" s="255" t="s">
        <v>85</v>
      </c>
      <c r="L33" s="281"/>
      <c r="M33" s="281"/>
      <c r="N33" s="281"/>
      <c r="Q33" s="283"/>
    </row>
    <row r="34" spans="1:17" ht="12.75" customHeight="1" x14ac:dyDescent="0.2">
      <c r="A34" s="249">
        <v>38149</v>
      </c>
      <c r="B34" s="250" t="s">
        <v>102</v>
      </c>
      <c r="C34" s="251" t="s">
        <v>103</v>
      </c>
      <c r="D34" s="251" t="s">
        <v>65</v>
      </c>
      <c r="E34" s="251"/>
      <c r="F34" s="252" t="s">
        <v>43</v>
      </c>
      <c r="G34" s="284" t="s">
        <v>52</v>
      </c>
      <c r="H34" s="285" t="s">
        <v>51</v>
      </c>
      <c r="I34" s="251" t="s">
        <v>83</v>
      </c>
      <c r="J34" s="251" t="s">
        <v>84</v>
      </c>
      <c r="K34" s="255" t="s">
        <v>85</v>
      </c>
    </row>
    <row r="35" spans="1:17" ht="12.75" customHeight="1" x14ac:dyDescent="0.2">
      <c r="A35" s="249">
        <v>38772</v>
      </c>
      <c r="B35" s="250" t="s">
        <v>2030</v>
      </c>
      <c r="C35" s="251" t="s">
        <v>2031</v>
      </c>
      <c r="D35" s="251" t="s">
        <v>82</v>
      </c>
      <c r="E35" s="251"/>
      <c r="F35" s="252" t="s">
        <v>43</v>
      </c>
      <c r="G35" s="284" t="s">
        <v>360</v>
      </c>
      <c r="H35" s="285" t="s">
        <v>104</v>
      </c>
      <c r="I35" s="251" t="s">
        <v>83</v>
      </c>
      <c r="J35" s="251" t="s">
        <v>84</v>
      </c>
      <c r="K35" s="255" t="s">
        <v>85</v>
      </c>
      <c r="L35" s="281"/>
      <c r="M35" s="281"/>
      <c r="N35" s="281"/>
      <c r="Q35" s="283"/>
    </row>
    <row r="36" spans="1:17" ht="12.75" customHeight="1" x14ac:dyDescent="0.2">
      <c r="A36" s="249">
        <v>38729</v>
      </c>
      <c r="B36" s="250" t="s">
        <v>1869</v>
      </c>
      <c r="C36" s="251" t="s">
        <v>1870</v>
      </c>
      <c r="D36" s="251" t="s">
        <v>667</v>
      </c>
      <c r="E36" s="251"/>
      <c r="F36" s="252" t="s">
        <v>43</v>
      </c>
      <c r="G36" s="284" t="s">
        <v>44</v>
      </c>
      <c r="H36" s="285" t="s">
        <v>66</v>
      </c>
      <c r="I36" s="251" t="s">
        <v>83</v>
      </c>
      <c r="J36" s="251" t="s">
        <v>84</v>
      </c>
      <c r="K36" s="255" t="s">
        <v>85</v>
      </c>
    </row>
    <row r="37" spans="1:17" ht="12.75" customHeight="1" x14ac:dyDescent="0.2">
      <c r="A37" s="249">
        <v>25829</v>
      </c>
      <c r="B37" s="250" t="s">
        <v>110</v>
      </c>
      <c r="C37" s="251" t="s">
        <v>111</v>
      </c>
      <c r="D37" s="251" t="s">
        <v>112</v>
      </c>
      <c r="E37" s="251"/>
      <c r="F37" s="252" t="s">
        <v>43</v>
      </c>
      <c r="G37" s="284" t="s">
        <v>67</v>
      </c>
      <c r="H37" s="285" t="s">
        <v>45</v>
      </c>
      <c r="I37" s="251" t="s">
        <v>83</v>
      </c>
      <c r="J37" s="251" t="s">
        <v>84</v>
      </c>
      <c r="K37" s="255" t="s">
        <v>85</v>
      </c>
    </row>
    <row r="38" spans="1:17" ht="12.75" customHeight="1" x14ac:dyDescent="0.2">
      <c r="A38" s="249">
        <v>38352</v>
      </c>
      <c r="B38" s="250" t="s">
        <v>123</v>
      </c>
      <c r="C38" s="251" t="s">
        <v>124</v>
      </c>
      <c r="D38" s="251" t="s">
        <v>125</v>
      </c>
      <c r="E38" s="251"/>
      <c r="F38" s="252" t="s">
        <v>43</v>
      </c>
      <c r="G38" s="253" t="s">
        <v>67</v>
      </c>
      <c r="H38" s="254">
        <v>0</v>
      </c>
      <c r="I38" s="251" t="s">
        <v>126</v>
      </c>
      <c r="J38" s="251" t="s">
        <v>127</v>
      </c>
      <c r="K38" s="255" t="s">
        <v>128</v>
      </c>
    </row>
    <row r="39" spans="1:17" ht="12.75" customHeight="1" x14ac:dyDescent="0.2">
      <c r="A39" s="249">
        <v>38540</v>
      </c>
      <c r="B39" s="250" t="s">
        <v>130</v>
      </c>
      <c r="C39" s="251" t="s">
        <v>131</v>
      </c>
      <c r="D39" s="251" t="s">
        <v>132</v>
      </c>
      <c r="E39" s="251"/>
      <c r="F39" s="252" t="s">
        <v>43</v>
      </c>
      <c r="G39" s="284" t="s">
        <v>44</v>
      </c>
      <c r="H39" s="285"/>
      <c r="I39" s="251" t="s">
        <v>126</v>
      </c>
      <c r="J39" s="251" t="s">
        <v>127</v>
      </c>
      <c r="K39" s="255" t="s">
        <v>128</v>
      </c>
    </row>
    <row r="40" spans="1:17" ht="12.75" customHeight="1" x14ac:dyDescent="0.2">
      <c r="A40" s="249">
        <v>38539</v>
      </c>
      <c r="B40" s="250" t="s">
        <v>151</v>
      </c>
      <c r="C40" s="251" t="s">
        <v>131</v>
      </c>
      <c r="D40" s="251" t="s">
        <v>152</v>
      </c>
      <c r="E40" s="251"/>
      <c r="F40" s="252" t="s">
        <v>49</v>
      </c>
      <c r="G40" s="284" t="s">
        <v>79</v>
      </c>
      <c r="H40" s="285"/>
      <c r="I40" s="251" t="s">
        <v>126</v>
      </c>
      <c r="J40" s="251" t="s">
        <v>127</v>
      </c>
      <c r="K40" s="255" t="s">
        <v>128</v>
      </c>
      <c r="L40" s="281"/>
      <c r="M40" s="281"/>
      <c r="N40" s="281"/>
      <c r="Q40" s="283"/>
    </row>
    <row r="41" spans="1:17" ht="12.75" customHeight="1" x14ac:dyDescent="0.2">
      <c r="A41" s="249">
        <v>25359</v>
      </c>
      <c r="B41" s="250" t="s">
        <v>133</v>
      </c>
      <c r="C41" s="251" t="s">
        <v>134</v>
      </c>
      <c r="D41" s="251" t="s">
        <v>135</v>
      </c>
      <c r="E41" s="251"/>
      <c r="F41" s="252" t="s">
        <v>43</v>
      </c>
      <c r="G41" s="253" t="s">
        <v>44</v>
      </c>
      <c r="H41" s="254">
        <v>0</v>
      </c>
      <c r="I41" s="251" t="s">
        <v>126</v>
      </c>
      <c r="J41" s="251" t="s">
        <v>127</v>
      </c>
      <c r="K41" s="255" t="s">
        <v>128</v>
      </c>
    </row>
    <row r="42" spans="1:17" ht="12.75" customHeight="1" x14ac:dyDescent="0.2">
      <c r="A42" s="249">
        <v>25965</v>
      </c>
      <c r="B42" s="250">
        <v>9111296</v>
      </c>
      <c r="C42" s="251" t="s">
        <v>137</v>
      </c>
      <c r="D42" s="251" t="s">
        <v>138</v>
      </c>
      <c r="E42" s="251"/>
      <c r="F42" s="252" t="s">
        <v>49</v>
      </c>
      <c r="G42" s="284" t="s">
        <v>50</v>
      </c>
      <c r="H42" s="285" t="s">
        <v>104</v>
      </c>
      <c r="I42" s="251" t="s">
        <v>126</v>
      </c>
      <c r="J42" s="251" t="s">
        <v>127</v>
      </c>
      <c r="K42" s="255" t="s">
        <v>128</v>
      </c>
    </row>
    <row r="43" spans="1:17" ht="12.75" customHeight="1" x14ac:dyDescent="0.2">
      <c r="A43" s="249">
        <v>38425</v>
      </c>
      <c r="B43" s="250" t="s">
        <v>141</v>
      </c>
      <c r="C43" s="251" t="s">
        <v>142</v>
      </c>
      <c r="D43" s="251" t="s">
        <v>143</v>
      </c>
      <c r="E43" s="251"/>
      <c r="F43" s="252" t="s">
        <v>43</v>
      </c>
      <c r="G43" s="284" t="s">
        <v>52</v>
      </c>
      <c r="H43" s="285" t="s">
        <v>104</v>
      </c>
      <c r="I43" s="251" t="s">
        <v>126</v>
      </c>
      <c r="J43" s="251" t="s">
        <v>127</v>
      </c>
      <c r="K43" s="255" t="s">
        <v>128</v>
      </c>
      <c r="L43" s="281"/>
      <c r="M43" s="281"/>
      <c r="N43" s="281"/>
      <c r="Q43" s="283"/>
    </row>
    <row r="44" spans="1:17" ht="12.75" customHeight="1" x14ac:dyDescent="0.2">
      <c r="A44" s="249">
        <v>38369</v>
      </c>
      <c r="B44" s="250" t="s">
        <v>144</v>
      </c>
      <c r="C44" s="257" t="s">
        <v>145</v>
      </c>
      <c r="D44" s="257" t="s">
        <v>73</v>
      </c>
      <c r="E44" s="257" t="s">
        <v>2374</v>
      </c>
      <c r="F44" s="252" t="s">
        <v>43</v>
      </c>
      <c r="G44" s="284" t="s">
        <v>52</v>
      </c>
      <c r="H44" s="285" t="s">
        <v>104</v>
      </c>
      <c r="I44" s="257" t="s">
        <v>126</v>
      </c>
      <c r="J44" s="251" t="s">
        <v>127</v>
      </c>
      <c r="K44" s="255" t="s">
        <v>128</v>
      </c>
    </row>
    <row r="45" spans="1:17" ht="12.75" customHeight="1" x14ac:dyDescent="0.2">
      <c r="A45" s="249">
        <v>16165</v>
      </c>
      <c r="B45" s="250" t="s">
        <v>146</v>
      </c>
      <c r="C45" s="251" t="s">
        <v>147</v>
      </c>
      <c r="D45" s="251" t="s">
        <v>148</v>
      </c>
      <c r="E45" s="251"/>
      <c r="F45" s="252" t="s">
        <v>49</v>
      </c>
      <c r="G45" s="284" t="s">
        <v>228</v>
      </c>
      <c r="H45" s="285"/>
      <c r="I45" s="251" t="s">
        <v>126</v>
      </c>
      <c r="J45" s="251" t="s">
        <v>127</v>
      </c>
      <c r="K45" s="255" t="s">
        <v>128</v>
      </c>
    </row>
    <row r="46" spans="1:17" ht="12.75" customHeight="1" x14ac:dyDescent="0.2">
      <c r="A46" s="249">
        <v>38134</v>
      </c>
      <c r="B46" s="250" t="s">
        <v>149</v>
      </c>
      <c r="C46" s="251" t="s">
        <v>143</v>
      </c>
      <c r="D46" s="251" t="s">
        <v>150</v>
      </c>
      <c r="E46" s="251"/>
      <c r="F46" s="252" t="s">
        <v>43</v>
      </c>
      <c r="G46" s="284" t="s">
        <v>44</v>
      </c>
      <c r="H46" s="285" t="s">
        <v>45</v>
      </c>
      <c r="I46" s="251" t="s">
        <v>126</v>
      </c>
      <c r="J46" s="251" t="s">
        <v>127</v>
      </c>
      <c r="K46" s="255" t="s">
        <v>128</v>
      </c>
    </row>
    <row r="47" spans="1:17" ht="12.75" customHeight="1" x14ac:dyDescent="0.2">
      <c r="A47" s="249">
        <v>25378</v>
      </c>
      <c r="B47" s="250" t="s">
        <v>157</v>
      </c>
      <c r="C47" s="251" t="s">
        <v>158</v>
      </c>
      <c r="D47" s="251" t="s">
        <v>159</v>
      </c>
      <c r="E47" s="251"/>
      <c r="F47" s="252" t="s">
        <v>49</v>
      </c>
      <c r="G47" s="284" t="s">
        <v>79</v>
      </c>
      <c r="H47" s="285"/>
      <c r="I47" s="251" t="s">
        <v>154</v>
      </c>
      <c r="J47" s="251" t="s">
        <v>155</v>
      </c>
      <c r="K47" s="255" t="s">
        <v>156</v>
      </c>
    </row>
    <row r="48" spans="1:17" ht="12.75" customHeight="1" x14ac:dyDescent="0.2">
      <c r="A48" s="249">
        <v>38490</v>
      </c>
      <c r="B48" s="250" t="s">
        <v>160</v>
      </c>
      <c r="C48" s="257" t="s">
        <v>161</v>
      </c>
      <c r="D48" s="257" t="s">
        <v>77</v>
      </c>
      <c r="E48" s="257" t="s">
        <v>2374</v>
      </c>
      <c r="F48" s="252" t="s">
        <v>49</v>
      </c>
      <c r="G48" s="284" t="s">
        <v>139</v>
      </c>
      <c r="H48" s="285" t="s">
        <v>104</v>
      </c>
      <c r="I48" s="257" t="s">
        <v>154</v>
      </c>
      <c r="J48" s="257" t="s">
        <v>155</v>
      </c>
      <c r="K48" s="255" t="s">
        <v>156</v>
      </c>
      <c r="L48" s="281"/>
      <c r="M48" s="281"/>
      <c r="N48" s="281"/>
      <c r="Q48" s="283"/>
    </row>
    <row r="49" spans="1:17" ht="12.75" customHeight="1" x14ac:dyDescent="0.2">
      <c r="A49" s="249">
        <v>7265</v>
      </c>
      <c r="B49" s="250" t="s">
        <v>163</v>
      </c>
      <c r="C49" s="251" t="s">
        <v>164</v>
      </c>
      <c r="D49" s="251" t="s">
        <v>165</v>
      </c>
      <c r="E49" s="251"/>
      <c r="F49" s="252" t="s">
        <v>43</v>
      </c>
      <c r="G49" s="284" t="s">
        <v>52</v>
      </c>
      <c r="H49" s="285" t="s">
        <v>45</v>
      </c>
      <c r="I49" s="251" t="s">
        <v>154</v>
      </c>
      <c r="J49" s="251" t="s">
        <v>155</v>
      </c>
      <c r="K49" s="255" t="s">
        <v>156</v>
      </c>
      <c r="L49" s="281"/>
      <c r="M49" s="281"/>
      <c r="N49" s="281"/>
      <c r="Q49" s="283"/>
    </row>
    <row r="50" spans="1:17" ht="12.75" customHeight="1" x14ac:dyDescent="0.2">
      <c r="A50" s="249">
        <v>25436</v>
      </c>
      <c r="B50" s="250">
        <v>9065975</v>
      </c>
      <c r="C50" s="251" t="s">
        <v>166</v>
      </c>
      <c r="D50" s="251" t="s">
        <v>167</v>
      </c>
      <c r="E50" s="251"/>
      <c r="F50" s="252" t="s">
        <v>49</v>
      </c>
      <c r="G50" s="284" t="s">
        <v>139</v>
      </c>
      <c r="H50" s="285" t="s">
        <v>45</v>
      </c>
      <c r="I50" s="251" t="s">
        <v>154</v>
      </c>
      <c r="J50" s="251" t="s">
        <v>155</v>
      </c>
      <c r="K50" s="255" t="s">
        <v>156</v>
      </c>
      <c r="L50" s="281"/>
      <c r="M50" s="281"/>
      <c r="N50" s="281"/>
      <c r="Q50" s="283"/>
    </row>
    <row r="51" spans="1:17" ht="12.75" customHeight="1" x14ac:dyDescent="0.2">
      <c r="A51" s="249">
        <v>16897</v>
      </c>
      <c r="B51" s="250">
        <v>9019450</v>
      </c>
      <c r="C51" s="257" t="s">
        <v>166</v>
      </c>
      <c r="D51" s="257" t="s">
        <v>117</v>
      </c>
      <c r="E51" s="257" t="s">
        <v>2374</v>
      </c>
      <c r="F51" s="252" t="s">
        <v>43</v>
      </c>
      <c r="G51" s="284" t="s">
        <v>67</v>
      </c>
      <c r="H51" s="285" t="s">
        <v>45</v>
      </c>
      <c r="I51" s="257" t="s">
        <v>154</v>
      </c>
      <c r="J51" s="257" t="s">
        <v>155</v>
      </c>
      <c r="K51" s="255" t="s">
        <v>156</v>
      </c>
      <c r="L51" s="281"/>
      <c r="M51" s="281"/>
      <c r="N51" s="281"/>
      <c r="Q51" s="283"/>
    </row>
    <row r="52" spans="1:17" ht="12.75" customHeight="1" x14ac:dyDescent="0.2">
      <c r="A52" s="249">
        <v>25760</v>
      </c>
      <c r="B52" s="250">
        <v>9099239</v>
      </c>
      <c r="C52" s="257" t="s">
        <v>168</v>
      </c>
      <c r="D52" s="257" t="s">
        <v>169</v>
      </c>
      <c r="E52" s="257" t="s">
        <v>2374</v>
      </c>
      <c r="F52" s="252" t="s">
        <v>43</v>
      </c>
      <c r="G52" s="284" t="s">
        <v>44</v>
      </c>
      <c r="H52" s="285" t="s">
        <v>66</v>
      </c>
      <c r="I52" s="257" t="s">
        <v>154</v>
      </c>
      <c r="J52" s="257" t="s">
        <v>155</v>
      </c>
      <c r="K52" s="255" t="s">
        <v>156</v>
      </c>
      <c r="L52" s="281"/>
      <c r="M52" s="281"/>
      <c r="N52" s="281"/>
      <c r="Q52" s="283"/>
    </row>
    <row r="53" spans="1:17" ht="12.75" customHeight="1" x14ac:dyDescent="0.2">
      <c r="A53" s="249">
        <v>7286</v>
      </c>
      <c r="B53" s="250" t="s">
        <v>170</v>
      </c>
      <c r="C53" s="251" t="s">
        <v>171</v>
      </c>
      <c r="D53" s="251" t="s">
        <v>73</v>
      </c>
      <c r="E53" s="251"/>
      <c r="F53" s="252" t="s">
        <v>43</v>
      </c>
      <c r="G53" s="284" t="s">
        <v>52</v>
      </c>
      <c r="H53" s="285" t="s">
        <v>51</v>
      </c>
      <c r="I53" s="251" t="s">
        <v>154</v>
      </c>
      <c r="J53" s="251" t="s">
        <v>155</v>
      </c>
      <c r="K53" s="255" t="s">
        <v>156</v>
      </c>
      <c r="L53" s="281"/>
      <c r="M53" s="281"/>
      <c r="N53" s="281"/>
      <c r="Q53" s="283"/>
    </row>
    <row r="54" spans="1:17" ht="12.75" customHeight="1" x14ac:dyDescent="0.2">
      <c r="A54" s="249">
        <v>7283</v>
      </c>
      <c r="B54" s="250" t="s">
        <v>172</v>
      </c>
      <c r="C54" s="251" t="s">
        <v>173</v>
      </c>
      <c r="D54" s="251" t="s">
        <v>117</v>
      </c>
      <c r="E54" s="251"/>
      <c r="F54" s="252" t="s">
        <v>43</v>
      </c>
      <c r="G54" s="284" t="s">
        <v>52</v>
      </c>
      <c r="H54" s="285" t="s">
        <v>45</v>
      </c>
      <c r="I54" s="251" t="s">
        <v>154</v>
      </c>
      <c r="J54" s="251" t="s">
        <v>155</v>
      </c>
      <c r="K54" s="255" t="s">
        <v>156</v>
      </c>
      <c r="L54" s="281"/>
      <c r="M54" s="281"/>
      <c r="N54" s="281"/>
      <c r="Q54" s="283"/>
    </row>
    <row r="55" spans="1:17" ht="12.75" customHeight="1" x14ac:dyDescent="0.2">
      <c r="A55" s="249">
        <v>7282</v>
      </c>
      <c r="B55" s="250" t="s">
        <v>174</v>
      </c>
      <c r="C55" s="251" t="s">
        <v>175</v>
      </c>
      <c r="D55" s="251" t="s">
        <v>176</v>
      </c>
      <c r="E55" s="251"/>
      <c r="F55" s="252" t="s">
        <v>43</v>
      </c>
      <c r="G55" s="284" t="s">
        <v>52</v>
      </c>
      <c r="H55" s="285" t="s">
        <v>51</v>
      </c>
      <c r="I55" s="251" t="s">
        <v>154</v>
      </c>
      <c r="J55" s="251" t="s">
        <v>155</v>
      </c>
      <c r="K55" s="255" t="s">
        <v>156</v>
      </c>
      <c r="L55" s="281"/>
      <c r="M55" s="281"/>
      <c r="N55" s="281"/>
      <c r="Q55" s="283"/>
    </row>
    <row r="56" spans="1:17" ht="12.75" customHeight="1" x14ac:dyDescent="0.2">
      <c r="A56" s="249">
        <v>38930</v>
      </c>
      <c r="B56" s="250" t="s">
        <v>2422</v>
      </c>
      <c r="C56" s="251" t="s">
        <v>2423</v>
      </c>
      <c r="D56" s="251" t="s">
        <v>265</v>
      </c>
      <c r="E56" s="251"/>
      <c r="F56" s="252" t="s">
        <v>43</v>
      </c>
      <c r="G56" s="284" t="s">
        <v>67</v>
      </c>
      <c r="H56" s="285">
        <v>0</v>
      </c>
      <c r="I56" s="251" t="s">
        <v>154</v>
      </c>
      <c r="J56" s="251" t="s">
        <v>155</v>
      </c>
      <c r="K56" s="255" t="s">
        <v>156</v>
      </c>
      <c r="L56" s="281"/>
      <c r="M56" s="281"/>
      <c r="N56" s="281"/>
      <c r="Q56" s="283"/>
    </row>
    <row r="57" spans="1:17" ht="12.75" customHeight="1" x14ac:dyDescent="0.2">
      <c r="A57" s="249">
        <v>38886</v>
      </c>
      <c r="B57" s="250" t="s">
        <v>2330</v>
      </c>
      <c r="C57" s="251" t="s">
        <v>153</v>
      </c>
      <c r="D57" s="251" t="s">
        <v>150</v>
      </c>
      <c r="E57" s="251"/>
      <c r="F57" s="252" t="s">
        <v>43</v>
      </c>
      <c r="G57" s="284" t="s">
        <v>94</v>
      </c>
      <c r="H57" s="285" t="s">
        <v>45</v>
      </c>
      <c r="I57" s="251" t="s">
        <v>177</v>
      </c>
      <c r="J57" s="251" t="s">
        <v>155</v>
      </c>
      <c r="K57" s="255" t="s">
        <v>156</v>
      </c>
    </row>
    <row r="58" spans="1:17" ht="12.75" customHeight="1" x14ac:dyDescent="0.2">
      <c r="A58" s="249">
        <v>25761</v>
      </c>
      <c r="B58" s="250">
        <v>9091544</v>
      </c>
      <c r="C58" s="251" t="s">
        <v>178</v>
      </c>
      <c r="D58" s="251" t="s">
        <v>179</v>
      </c>
      <c r="E58" s="251"/>
      <c r="F58" s="252" t="s">
        <v>43</v>
      </c>
      <c r="G58" s="284" t="s">
        <v>44</v>
      </c>
      <c r="H58" s="285" t="s">
        <v>66</v>
      </c>
      <c r="I58" s="251" t="s">
        <v>177</v>
      </c>
      <c r="J58" s="251" t="s">
        <v>155</v>
      </c>
      <c r="K58" s="255" t="s">
        <v>156</v>
      </c>
      <c r="L58" s="281"/>
      <c r="M58" s="281"/>
      <c r="N58" s="281"/>
      <c r="Q58" s="283"/>
    </row>
    <row r="59" spans="1:17" ht="12.75" customHeight="1" x14ac:dyDescent="0.2">
      <c r="A59" s="249">
        <v>38082</v>
      </c>
      <c r="B59" s="250" t="s">
        <v>181</v>
      </c>
      <c r="C59" s="251" t="s">
        <v>182</v>
      </c>
      <c r="D59" s="251" t="s">
        <v>93</v>
      </c>
      <c r="E59" s="251"/>
      <c r="F59" s="252" t="s">
        <v>43</v>
      </c>
      <c r="G59" s="284" t="s">
        <v>44</v>
      </c>
      <c r="H59" s="285" t="s">
        <v>45</v>
      </c>
      <c r="I59" s="251" t="s">
        <v>177</v>
      </c>
      <c r="J59" s="251" t="s">
        <v>155</v>
      </c>
      <c r="K59" s="255" t="s">
        <v>156</v>
      </c>
      <c r="L59" s="281"/>
      <c r="M59" s="281"/>
      <c r="N59" s="281"/>
      <c r="Q59" s="283"/>
    </row>
    <row r="60" spans="1:17" ht="12.75" customHeight="1" x14ac:dyDescent="0.2">
      <c r="A60" s="249">
        <v>38885</v>
      </c>
      <c r="B60" s="250" t="s">
        <v>2331</v>
      </c>
      <c r="C60" s="251" t="s">
        <v>2332</v>
      </c>
      <c r="D60" s="251" t="s">
        <v>132</v>
      </c>
      <c r="E60" s="251"/>
      <c r="F60" s="252" t="s">
        <v>43</v>
      </c>
      <c r="G60" s="284" t="s">
        <v>44</v>
      </c>
      <c r="H60" s="285"/>
      <c r="I60" s="251" t="s">
        <v>177</v>
      </c>
      <c r="J60" s="251" t="s">
        <v>155</v>
      </c>
      <c r="K60" s="255" t="s">
        <v>156</v>
      </c>
      <c r="L60" s="281"/>
      <c r="M60" s="281"/>
      <c r="N60" s="281"/>
      <c r="Q60" s="283"/>
    </row>
    <row r="61" spans="1:17" ht="12.75" customHeight="1" x14ac:dyDescent="0.2">
      <c r="A61" s="249">
        <v>25932</v>
      </c>
      <c r="B61" s="250">
        <v>9111565</v>
      </c>
      <c r="C61" s="251" t="s">
        <v>183</v>
      </c>
      <c r="D61" s="251" t="s">
        <v>184</v>
      </c>
      <c r="E61" s="251"/>
      <c r="F61" s="252" t="s">
        <v>43</v>
      </c>
      <c r="G61" s="284" t="s">
        <v>44</v>
      </c>
      <c r="H61" s="285" t="s">
        <v>66</v>
      </c>
      <c r="I61" s="251" t="s">
        <v>177</v>
      </c>
      <c r="J61" s="251" t="s">
        <v>155</v>
      </c>
      <c r="K61" s="255" t="s">
        <v>156</v>
      </c>
      <c r="L61" s="281"/>
      <c r="M61" s="281"/>
      <c r="N61" s="281"/>
      <c r="Q61" s="283"/>
    </row>
    <row r="62" spans="1:17" ht="12.75" customHeight="1" x14ac:dyDescent="0.2">
      <c r="A62" s="249">
        <v>25044</v>
      </c>
      <c r="B62" s="250" t="s">
        <v>185</v>
      </c>
      <c r="C62" s="251" t="s">
        <v>60</v>
      </c>
      <c r="D62" s="251" t="s">
        <v>184</v>
      </c>
      <c r="E62" s="251"/>
      <c r="F62" s="252" t="s">
        <v>43</v>
      </c>
      <c r="G62" s="284" t="s">
        <v>67</v>
      </c>
      <c r="H62" s="285" t="s">
        <v>180</v>
      </c>
      <c r="I62" s="251" t="s">
        <v>177</v>
      </c>
      <c r="J62" s="251" t="s">
        <v>155</v>
      </c>
      <c r="K62" s="255" t="s">
        <v>156</v>
      </c>
    </row>
    <row r="63" spans="1:17" ht="12.75" customHeight="1" x14ac:dyDescent="0.2">
      <c r="A63" s="249">
        <v>38683</v>
      </c>
      <c r="B63" s="250" t="s">
        <v>186</v>
      </c>
      <c r="C63" s="251" t="s">
        <v>171</v>
      </c>
      <c r="D63" s="251" t="s">
        <v>187</v>
      </c>
      <c r="E63" s="251"/>
      <c r="F63" s="252" t="s">
        <v>43</v>
      </c>
      <c r="G63" s="284" t="s">
        <v>67</v>
      </c>
      <c r="H63" s="285" t="s">
        <v>45</v>
      </c>
      <c r="I63" s="251" t="s">
        <v>177</v>
      </c>
      <c r="J63" s="251" t="s">
        <v>155</v>
      </c>
      <c r="K63" s="255" t="s">
        <v>156</v>
      </c>
    </row>
    <row r="64" spans="1:17" ht="12.75" customHeight="1" x14ac:dyDescent="0.2">
      <c r="A64" s="249">
        <v>25519</v>
      </c>
      <c r="B64" s="250">
        <v>9059995</v>
      </c>
      <c r="C64" s="251" t="s">
        <v>188</v>
      </c>
      <c r="D64" s="251" t="s">
        <v>99</v>
      </c>
      <c r="E64" s="251"/>
      <c r="F64" s="252" t="s">
        <v>43</v>
      </c>
      <c r="G64" s="284" t="s">
        <v>44</v>
      </c>
      <c r="H64" s="285" t="s">
        <v>180</v>
      </c>
      <c r="I64" s="251" t="s">
        <v>177</v>
      </c>
      <c r="J64" s="251" t="s">
        <v>155</v>
      </c>
      <c r="K64" s="255" t="s">
        <v>156</v>
      </c>
    </row>
    <row r="65" spans="1:11" ht="12.75" customHeight="1" x14ac:dyDescent="0.2">
      <c r="A65" s="249">
        <v>25521</v>
      </c>
      <c r="B65" s="250" t="s">
        <v>189</v>
      </c>
      <c r="C65" s="251" t="s">
        <v>190</v>
      </c>
      <c r="D65" s="251" t="s">
        <v>191</v>
      </c>
      <c r="E65" s="251"/>
      <c r="F65" s="252" t="s">
        <v>43</v>
      </c>
      <c r="G65" s="284" t="s">
        <v>44</v>
      </c>
      <c r="H65" s="285" t="s">
        <v>239</v>
      </c>
      <c r="I65" s="251" t="s">
        <v>177</v>
      </c>
      <c r="J65" s="251" t="s">
        <v>155</v>
      </c>
      <c r="K65" s="255" t="s">
        <v>156</v>
      </c>
    </row>
    <row r="66" spans="1:11" ht="12.75" customHeight="1" x14ac:dyDescent="0.2">
      <c r="A66" s="249">
        <v>25973</v>
      </c>
      <c r="B66" s="250" t="s">
        <v>193</v>
      </c>
      <c r="C66" s="257" t="s">
        <v>194</v>
      </c>
      <c r="D66" s="257" t="s">
        <v>195</v>
      </c>
      <c r="E66" s="257" t="s">
        <v>2374</v>
      </c>
      <c r="F66" s="252" t="s">
        <v>43</v>
      </c>
      <c r="G66" s="284" t="s">
        <v>44</v>
      </c>
      <c r="H66" s="285" t="s">
        <v>45</v>
      </c>
      <c r="I66" s="257" t="s">
        <v>177</v>
      </c>
      <c r="J66" s="257" t="s">
        <v>155</v>
      </c>
      <c r="K66" s="255" t="s">
        <v>156</v>
      </c>
    </row>
    <row r="67" spans="1:11" ht="12.75" customHeight="1" x14ac:dyDescent="0.2">
      <c r="A67" s="249">
        <v>16854</v>
      </c>
      <c r="B67" s="250" t="s">
        <v>196</v>
      </c>
      <c r="C67" s="251" t="s">
        <v>197</v>
      </c>
      <c r="D67" s="251" t="s">
        <v>120</v>
      </c>
      <c r="E67" s="251"/>
      <c r="F67" s="252" t="s">
        <v>43</v>
      </c>
      <c r="G67" s="284" t="s">
        <v>44</v>
      </c>
      <c r="H67" s="285" t="s">
        <v>45</v>
      </c>
      <c r="I67" s="251" t="s">
        <v>177</v>
      </c>
      <c r="J67" s="251" t="s">
        <v>155</v>
      </c>
      <c r="K67" s="255" t="s">
        <v>156</v>
      </c>
    </row>
    <row r="68" spans="1:11" ht="12.75" customHeight="1" x14ac:dyDescent="0.2">
      <c r="A68" s="249">
        <v>7279</v>
      </c>
      <c r="B68" s="250" t="s">
        <v>198</v>
      </c>
      <c r="C68" s="251" t="s">
        <v>199</v>
      </c>
      <c r="D68" s="251" t="s">
        <v>200</v>
      </c>
      <c r="E68" s="251"/>
      <c r="F68" s="252" t="s">
        <v>43</v>
      </c>
      <c r="G68" s="284" t="s">
        <v>58</v>
      </c>
      <c r="H68" s="285"/>
      <c r="I68" s="251" t="s">
        <v>177</v>
      </c>
      <c r="J68" s="251" t="s">
        <v>155</v>
      </c>
      <c r="K68" s="255" t="s">
        <v>156</v>
      </c>
    </row>
    <row r="69" spans="1:11" ht="12.75" customHeight="1" x14ac:dyDescent="0.2">
      <c r="A69" s="249">
        <v>16707</v>
      </c>
      <c r="B69" s="250" t="s">
        <v>201</v>
      </c>
      <c r="C69" s="251" t="s">
        <v>202</v>
      </c>
      <c r="D69" s="251" t="s">
        <v>143</v>
      </c>
      <c r="E69" s="251"/>
      <c r="F69" s="252" t="s">
        <v>43</v>
      </c>
      <c r="G69" s="284" t="s">
        <v>67</v>
      </c>
      <c r="H69" s="285" t="s">
        <v>45</v>
      </c>
      <c r="I69" s="257" t="s">
        <v>203</v>
      </c>
      <c r="J69" s="251" t="s">
        <v>204</v>
      </c>
      <c r="K69" s="255" t="s">
        <v>205</v>
      </c>
    </row>
    <row r="70" spans="1:11" ht="12.75" customHeight="1" x14ac:dyDescent="0.2">
      <c r="A70" s="249">
        <v>7714</v>
      </c>
      <c r="B70" s="250" t="s">
        <v>207</v>
      </c>
      <c r="C70" s="251" t="s">
        <v>208</v>
      </c>
      <c r="D70" s="251" t="s">
        <v>143</v>
      </c>
      <c r="E70" s="251"/>
      <c r="F70" s="252" t="s">
        <v>43</v>
      </c>
      <c r="G70" s="284" t="s">
        <v>67</v>
      </c>
      <c r="H70" s="285" t="s">
        <v>45</v>
      </c>
      <c r="I70" s="251" t="s">
        <v>203</v>
      </c>
      <c r="J70" s="251" t="s">
        <v>204</v>
      </c>
      <c r="K70" s="255" t="s">
        <v>205</v>
      </c>
    </row>
    <row r="71" spans="1:11" ht="12.75" customHeight="1" x14ac:dyDescent="0.2">
      <c r="A71" s="249">
        <v>25944</v>
      </c>
      <c r="B71" s="250">
        <v>9111764</v>
      </c>
      <c r="C71" s="257" t="s">
        <v>209</v>
      </c>
      <c r="D71" s="257" t="s">
        <v>210</v>
      </c>
      <c r="E71" s="257" t="s">
        <v>2374</v>
      </c>
      <c r="F71" s="252" t="s">
        <v>43</v>
      </c>
      <c r="G71" s="284" t="s">
        <v>52</v>
      </c>
      <c r="H71" s="285" t="s">
        <v>51</v>
      </c>
      <c r="I71" s="257" t="s">
        <v>203</v>
      </c>
      <c r="J71" s="251" t="s">
        <v>204</v>
      </c>
      <c r="K71" s="255" t="s">
        <v>205</v>
      </c>
    </row>
    <row r="72" spans="1:11" ht="12.75" customHeight="1" x14ac:dyDescent="0.2">
      <c r="A72" s="249">
        <v>25811</v>
      </c>
      <c r="B72" s="250" t="s">
        <v>211</v>
      </c>
      <c r="C72" s="251" t="s">
        <v>212</v>
      </c>
      <c r="D72" s="251" t="s">
        <v>213</v>
      </c>
      <c r="E72" s="251"/>
      <c r="F72" s="252" t="s">
        <v>43</v>
      </c>
      <c r="G72" s="284" t="s">
        <v>44</v>
      </c>
      <c r="H72" s="285" t="s">
        <v>45</v>
      </c>
      <c r="I72" s="251" t="s">
        <v>203</v>
      </c>
      <c r="J72" s="251" t="s">
        <v>204</v>
      </c>
      <c r="K72" s="255" t="s">
        <v>205</v>
      </c>
    </row>
    <row r="73" spans="1:11" ht="12.75" customHeight="1" x14ac:dyDescent="0.2">
      <c r="A73" s="249">
        <v>7761</v>
      </c>
      <c r="B73" s="250" t="s">
        <v>214</v>
      </c>
      <c r="C73" s="251" t="s">
        <v>215</v>
      </c>
      <c r="D73" s="251" t="s">
        <v>73</v>
      </c>
      <c r="E73" s="251"/>
      <c r="F73" s="252" t="s">
        <v>43</v>
      </c>
      <c r="G73" s="284" t="s">
        <v>58</v>
      </c>
      <c r="H73" s="285" t="s">
        <v>51</v>
      </c>
      <c r="I73" s="251" t="s">
        <v>203</v>
      </c>
      <c r="J73" s="251" t="s">
        <v>204</v>
      </c>
      <c r="K73" s="255" t="s">
        <v>205</v>
      </c>
    </row>
    <row r="74" spans="1:11" ht="12.75" customHeight="1" x14ac:dyDescent="0.2">
      <c r="A74" s="249">
        <v>7758</v>
      </c>
      <c r="B74" s="250" t="s">
        <v>216</v>
      </c>
      <c r="C74" s="251" t="s">
        <v>217</v>
      </c>
      <c r="D74" s="251" t="s">
        <v>167</v>
      </c>
      <c r="E74" s="251"/>
      <c r="F74" s="252" t="s">
        <v>49</v>
      </c>
      <c r="G74" s="284" t="s">
        <v>139</v>
      </c>
      <c r="H74" s="285" t="s">
        <v>66</v>
      </c>
      <c r="I74" s="251" t="s">
        <v>218</v>
      </c>
      <c r="J74" s="251" t="s">
        <v>204</v>
      </c>
      <c r="K74" s="255" t="s">
        <v>205</v>
      </c>
    </row>
    <row r="75" spans="1:11" ht="12.75" customHeight="1" x14ac:dyDescent="0.2">
      <c r="A75" s="249">
        <v>7754</v>
      </c>
      <c r="B75" s="250" t="s">
        <v>219</v>
      </c>
      <c r="C75" s="251" t="s">
        <v>220</v>
      </c>
      <c r="D75" s="251" t="s">
        <v>77</v>
      </c>
      <c r="E75" s="251"/>
      <c r="F75" s="252" t="s">
        <v>49</v>
      </c>
      <c r="G75" s="284" t="s">
        <v>50</v>
      </c>
      <c r="H75" s="285" t="s">
        <v>45</v>
      </c>
      <c r="I75" s="251" t="s">
        <v>218</v>
      </c>
      <c r="J75" s="251" t="s">
        <v>204</v>
      </c>
      <c r="K75" s="255" t="s">
        <v>205</v>
      </c>
    </row>
    <row r="76" spans="1:11" ht="12.75" customHeight="1" x14ac:dyDescent="0.2">
      <c r="A76" s="249">
        <v>7753</v>
      </c>
      <c r="B76" s="250" t="s">
        <v>221</v>
      </c>
      <c r="C76" s="251" t="s">
        <v>222</v>
      </c>
      <c r="D76" s="251" t="s">
        <v>223</v>
      </c>
      <c r="E76" s="251"/>
      <c r="F76" s="252" t="s">
        <v>49</v>
      </c>
      <c r="G76" s="284" t="s">
        <v>50</v>
      </c>
      <c r="H76" s="285" t="s">
        <v>66</v>
      </c>
      <c r="I76" s="251" t="s">
        <v>218</v>
      </c>
      <c r="J76" s="251" t="s">
        <v>204</v>
      </c>
      <c r="K76" s="255" t="s">
        <v>205</v>
      </c>
    </row>
    <row r="77" spans="1:11" ht="12.75" customHeight="1" x14ac:dyDescent="0.2">
      <c r="A77" s="249">
        <v>7757</v>
      </c>
      <c r="B77" s="250" t="s">
        <v>224</v>
      </c>
      <c r="C77" s="251" t="s">
        <v>225</v>
      </c>
      <c r="D77" s="251" t="s">
        <v>226</v>
      </c>
      <c r="E77" s="251"/>
      <c r="F77" s="252" t="s">
        <v>49</v>
      </c>
      <c r="G77" s="284" t="s">
        <v>139</v>
      </c>
      <c r="H77" s="285" t="s">
        <v>45</v>
      </c>
      <c r="I77" s="251" t="s">
        <v>218</v>
      </c>
      <c r="J77" s="251" t="s">
        <v>204</v>
      </c>
      <c r="K77" s="255" t="s">
        <v>205</v>
      </c>
    </row>
    <row r="78" spans="1:11" ht="12.75" customHeight="1" x14ac:dyDescent="0.2">
      <c r="A78" s="249">
        <v>7019</v>
      </c>
      <c r="B78" s="250" t="s">
        <v>2424</v>
      </c>
      <c r="C78" s="251" t="s">
        <v>227</v>
      </c>
      <c r="D78" s="251" t="s">
        <v>2425</v>
      </c>
      <c r="E78" s="251"/>
      <c r="F78" s="252" t="s">
        <v>49</v>
      </c>
      <c r="G78" s="258" t="s">
        <v>228</v>
      </c>
      <c r="H78" s="259">
        <v>0</v>
      </c>
      <c r="I78" s="251" t="s">
        <v>218</v>
      </c>
      <c r="J78" s="251" t="s">
        <v>204</v>
      </c>
      <c r="K78" s="255" t="s">
        <v>205</v>
      </c>
    </row>
    <row r="79" spans="1:11" ht="12.75" customHeight="1" x14ac:dyDescent="0.2">
      <c r="A79" s="249">
        <v>38560</v>
      </c>
      <c r="B79" s="250" t="s">
        <v>905</v>
      </c>
      <c r="C79" s="257" t="s">
        <v>906</v>
      </c>
      <c r="D79" s="257" t="s">
        <v>907</v>
      </c>
      <c r="E79" s="257" t="s">
        <v>2374</v>
      </c>
      <c r="F79" s="252" t="s">
        <v>49</v>
      </c>
      <c r="G79" s="284" t="s">
        <v>79</v>
      </c>
      <c r="H79" s="285" t="s">
        <v>66</v>
      </c>
      <c r="I79" s="257" t="s">
        <v>218</v>
      </c>
      <c r="J79" s="257" t="s">
        <v>204</v>
      </c>
      <c r="K79" s="255" t="s">
        <v>205</v>
      </c>
    </row>
    <row r="80" spans="1:11" ht="12.75" customHeight="1" x14ac:dyDescent="0.2">
      <c r="A80" s="249">
        <v>7755</v>
      </c>
      <c r="B80" s="250" t="s">
        <v>1871</v>
      </c>
      <c r="C80" s="251" t="s">
        <v>229</v>
      </c>
      <c r="D80" s="251" t="s">
        <v>230</v>
      </c>
      <c r="E80" s="251"/>
      <c r="F80" s="252" t="s">
        <v>49</v>
      </c>
      <c r="G80" s="253" t="s">
        <v>50</v>
      </c>
      <c r="H80" s="254">
        <v>0</v>
      </c>
      <c r="I80" s="251" t="s">
        <v>218</v>
      </c>
      <c r="J80" s="251" t="s">
        <v>204</v>
      </c>
      <c r="K80" s="255" t="s">
        <v>205</v>
      </c>
    </row>
    <row r="81" spans="1:17" ht="12.75" customHeight="1" x14ac:dyDescent="0.2">
      <c r="A81" s="249">
        <v>16245</v>
      </c>
      <c r="B81" s="250" t="s">
        <v>2426</v>
      </c>
      <c r="C81" s="251" t="s">
        <v>2427</v>
      </c>
      <c r="D81" s="251" t="s">
        <v>703</v>
      </c>
      <c r="E81" s="251"/>
      <c r="F81" s="252" t="s">
        <v>43</v>
      </c>
      <c r="G81" s="253" t="s">
        <v>52</v>
      </c>
      <c r="H81" s="254">
        <v>0</v>
      </c>
      <c r="I81" s="251" t="s">
        <v>232</v>
      </c>
      <c r="J81" s="251" t="s">
        <v>204</v>
      </c>
      <c r="K81" s="255" t="s">
        <v>205</v>
      </c>
    </row>
    <row r="82" spans="1:17" ht="12.75" customHeight="1" x14ac:dyDescent="0.2">
      <c r="A82" s="249">
        <v>16243</v>
      </c>
      <c r="B82" s="250" t="s">
        <v>2381</v>
      </c>
      <c r="C82" s="251" t="s">
        <v>237</v>
      </c>
      <c r="D82" s="251" t="s">
        <v>238</v>
      </c>
      <c r="E82" s="251"/>
      <c r="F82" s="252" t="s">
        <v>43</v>
      </c>
      <c r="G82" s="284" t="s">
        <v>44</v>
      </c>
      <c r="H82" s="285" t="s">
        <v>239</v>
      </c>
      <c r="I82" s="251" t="s">
        <v>232</v>
      </c>
      <c r="J82" s="251" t="s">
        <v>204</v>
      </c>
      <c r="K82" s="255" t="s">
        <v>205</v>
      </c>
    </row>
    <row r="83" spans="1:17" ht="12.75" customHeight="1" x14ac:dyDescent="0.2">
      <c r="A83" s="249">
        <v>16896</v>
      </c>
      <c r="B83" s="250" t="s">
        <v>245</v>
      </c>
      <c r="C83" s="257" t="s">
        <v>246</v>
      </c>
      <c r="D83" s="257" t="s">
        <v>99</v>
      </c>
      <c r="E83" s="257" t="s">
        <v>2374</v>
      </c>
      <c r="F83" s="252" t="s">
        <v>43</v>
      </c>
      <c r="G83" s="284" t="s">
        <v>44</v>
      </c>
      <c r="H83" s="285" t="s">
        <v>239</v>
      </c>
      <c r="I83" s="257" t="s">
        <v>232</v>
      </c>
      <c r="J83" s="257" t="s">
        <v>204</v>
      </c>
      <c r="K83" s="255" t="s">
        <v>205</v>
      </c>
      <c r="L83" s="281"/>
      <c r="M83" s="281"/>
      <c r="N83" s="281"/>
      <c r="Q83" s="283"/>
    </row>
    <row r="84" spans="1:17" ht="12.75" customHeight="1" x14ac:dyDescent="0.2">
      <c r="A84" s="249">
        <v>7102</v>
      </c>
      <c r="B84" s="250" t="s">
        <v>627</v>
      </c>
      <c r="C84" s="251" t="s">
        <v>628</v>
      </c>
      <c r="D84" s="251" t="s">
        <v>99</v>
      </c>
      <c r="E84" s="251"/>
      <c r="F84" s="252" t="s">
        <v>43</v>
      </c>
      <c r="G84" s="284" t="s">
        <v>44</v>
      </c>
      <c r="H84" s="285" t="s">
        <v>180</v>
      </c>
      <c r="I84" s="251" t="s">
        <v>232</v>
      </c>
      <c r="J84" s="251" t="s">
        <v>204</v>
      </c>
      <c r="K84" s="255" t="s">
        <v>205</v>
      </c>
      <c r="L84" s="281"/>
      <c r="M84" s="281"/>
      <c r="N84" s="281"/>
      <c r="Q84" s="283"/>
    </row>
    <row r="85" spans="1:17" ht="12.75" customHeight="1" x14ac:dyDescent="0.2">
      <c r="A85" s="249">
        <v>7724</v>
      </c>
      <c r="B85" s="250" t="s">
        <v>247</v>
      </c>
      <c r="C85" s="251" t="s">
        <v>248</v>
      </c>
      <c r="D85" s="251" t="s">
        <v>87</v>
      </c>
      <c r="E85" s="251"/>
      <c r="F85" s="252" t="s">
        <v>43</v>
      </c>
      <c r="G85" s="284" t="s">
        <v>44</v>
      </c>
      <c r="H85" s="285" t="s">
        <v>180</v>
      </c>
      <c r="I85" s="251" t="s">
        <v>232</v>
      </c>
      <c r="J85" s="251" t="s">
        <v>204</v>
      </c>
      <c r="K85" s="255" t="s">
        <v>205</v>
      </c>
      <c r="L85" s="281"/>
      <c r="M85" s="281"/>
      <c r="N85" s="281"/>
      <c r="Q85" s="283"/>
    </row>
    <row r="86" spans="1:17" ht="12.75" customHeight="1" x14ac:dyDescent="0.2">
      <c r="A86" s="249">
        <v>7725</v>
      </c>
      <c r="B86" s="250" t="s">
        <v>249</v>
      </c>
      <c r="C86" s="251" t="s">
        <v>250</v>
      </c>
      <c r="D86" s="251" t="s">
        <v>179</v>
      </c>
      <c r="E86" s="251"/>
      <c r="F86" s="252" t="s">
        <v>43</v>
      </c>
      <c r="G86" s="284" t="s">
        <v>44</v>
      </c>
      <c r="H86" s="285" t="s">
        <v>180</v>
      </c>
      <c r="I86" s="251" t="s">
        <v>232</v>
      </c>
      <c r="J86" s="251" t="s">
        <v>204</v>
      </c>
      <c r="K86" s="255" t="s">
        <v>205</v>
      </c>
      <c r="L86" s="281"/>
      <c r="M86" s="281"/>
      <c r="N86" s="281"/>
      <c r="Q86" s="283"/>
    </row>
    <row r="87" spans="1:17" ht="12.75" customHeight="1" x14ac:dyDescent="0.2">
      <c r="A87" s="249">
        <v>7734</v>
      </c>
      <c r="B87" s="250" t="s">
        <v>1137</v>
      </c>
      <c r="C87" s="251" t="s">
        <v>793</v>
      </c>
      <c r="D87" s="251" t="s">
        <v>1138</v>
      </c>
      <c r="E87" s="251"/>
      <c r="F87" s="252" t="s">
        <v>43</v>
      </c>
      <c r="G87" s="284" t="s">
        <v>44</v>
      </c>
      <c r="H87" s="285" t="s">
        <v>239</v>
      </c>
      <c r="I87" s="251" t="s">
        <v>232</v>
      </c>
      <c r="J87" s="251" t="s">
        <v>204</v>
      </c>
      <c r="K87" s="255" t="s">
        <v>205</v>
      </c>
      <c r="L87" s="281"/>
      <c r="M87" s="281"/>
      <c r="N87" s="281"/>
      <c r="Q87" s="283"/>
    </row>
    <row r="88" spans="1:17" ht="12.75" customHeight="1" x14ac:dyDescent="0.2">
      <c r="A88" s="249">
        <v>38906</v>
      </c>
      <c r="B88" s="250" t="s">
        <v>2428</v>
      </c>
      <c r="C88" s="251" t="s">
        <v>2429</v>
      </c>
      <c r="D88" s="251" t="s">
        <v>545</v>
      </c>
      <c r="E88" s="251"/>
      <c r="F88" s="252" t="s">
        <v>49</v>
      </c>
      <c r="G88" s="284" t="s">
        <v>79</v>
      </c>
      <c r="H88" s="285"/>
      <c r="I88" s="251" t="s">
        <v>255</v>
      </c>
      <c r="J88" s="251" t="s">
        <v>204</v>
      </c>
      <c r="K88" s="255" t="s">
        <v>205</v>
      </c>
      <c r="L88" s="281"/>
      <c r="M88" s="281"/>
      <c r="N88" s="281"/>
      <c r="Q88" s="283"/>
    </row>
    <row r="89" spans="1:17" ht="12.75" customHeight="1" x14ac:dyDescent="0.2">
      <c r="A89" s="249">
        <v>7742</v>
      </c>
      <c r="B89" s="250">
        <v>614207</v>
      </c>
      <c r="C89" s="251" t="s">
        <v>240</v>
      </c>
      <c r="D89" s="251" t="s">
        <v>97</v>
      </c>
      <c r="E89" s="251"/>
      <c r="F89" s="252" t="s">
        <v>43</v>
      </c>
      <c r="G89" s="253" t="s">
        <v>52</v>
      </c>
      <c r="H89" s="254">
        <v>0</v>
      </c>
      <c r="I89" s="251" t="s">
        <v>255</v>
      </c>
      <c r="J89" s="251" t="s">
        <v>204</v>
      </c>
      <c r="K89" s="255" t="s">
        <v>205</v>
      </c>
      <c r="L89" s="281"/>
      <c r="M89" s="281"/>
      <c r="N89" s="281"/>
      <c r="Q89" s="283"/>
    </row>
    <row r="90" spans="1:17" ht="12.75" customHeight="1" x14ac:dyDescent="0.2">
      <c r="A90" s="249">
        <v>7800</v>
      </c>
      <c r="B90" s="250">
        <v>663313</v>
      </c>
      <c r="C90" s="251" t="s">
        <v>240</v>
      </c>
      <c r="D90" s="251" t="s">
        <v>254</v>
      </c>
      <c r="E90" s="251"/>
      <c r="F90" s="252" t="s">
        <v>49</v>
      </c>
      <c r="G90" s="253" t="s">
        <v>139</v>
      </c>
      <c r="H90" s="254">
        <v>0</v>
      </c>
      <c r="I90" s="251" t="s">
        <v>255</v>
      </c>
      <c r="J90" s="251" t="s">
        <v>204</v>
      </c>
      <c r="K90" s="255" t="s">
        <v>205</v>
      </c>
      <c r="L90" s="281"/>
      <c r="M90" s="281"/>
      <c r="N90" s="281"/>
      <c r="Q90" s="283"/>
    </row>
    <row r="91" spans="1:17" ht="12.75" customHeight="1" x14ac:dyDescent="0.2">
      <c r="A91" s="249">
        <v>7005</v>
      </c>
      <c r="B91" s="250" t="s">
        <v>256</v>
      </c>
      <c r="C91" s="251" t="s">
        <v>227</v>
      </c>
      <c r="D91" s="251" t="s">
        <v>257</v>
      </c>
      <c r="E91" s="251"/>
      <c r="F91" s="252" t="s">
        <v>43</v>
      </c>
      <c r="G91" s="284" t="s">
        <v>58</v>
      </c>
      <c r="H91" s="285" t="s">
        <v>51</v>
      </c>
      <c r="I91" s="251" t="s">
        <v>255</v>
      </c>
      <c r="J91" s="251" t="s">
        <v>204</v>
      </c>
      <c r="K91" s="255" t="s">
        <v>205</v>
      </c>
      <c r="L91" s="281"/>
      <c r="M91" s="281"/>
      <c r="N91" s="281"/>
      <c r="Q91" s="283"/>
    </row>
    <row r="92" spans="1:17" ht="12.75" customHeight="1" x14ac:dyDescent="0.2">
      <c r="A92" s="249">
        <v>38931</v>
      </c>
      <c r="B92" s="250" t="s">
        <v>2430</v>
      </c>
      <c r="C92" s="251" t="s">
        <v>628</v>
      </c>
      <c r="D92" s="251" t="s">
        <v>2431</v>
      </c>
      <c r="E92" s="251"/>
      <c r="F92" s="252" t="s">
        <v>49</v>
      </c>
      <c r="G92" s="258" t="s">
        <v>79</v>
      </c>
      <c r="H92" s="259">
        <v>0</v>
      </c>
      <c r="I92" s="251" t="s">
        <v>255</v>
      </c>
      <c r="J92" s="251" t="s">
        <v>204</v>
      </c>
      <c r="K92" s="255" t="s">
        <v>205</v>
      </c>
      <c r="L92" s="281"/>
      <c r="M92" s="281"/>
      <c r="N92" s="281"/>
      <c r="Q92" s="283"/>
    </row>
    <row r="93" spans="1:17" ht="12.75" customHeight="1" x14ac:dyDescent="0.2">
      <c r="A93" s="249">
        <v>16080</v>
      </c>
      <c r="B93" s="250" t="s">
        <v>2257</v>
      </c>
      <c r="C93" s="251" t="s">
        <v>2258</v>
      </c>
      <c r="D93" s="251" t="s">
        <v>2259</v>
      </c>
      <c r="E93" s="251"/>
      <c r="F93" s="252" t="s">
        <v>43</v>
      </c>
      <c r="G93" s="284" t="s">
        <v>58</v>
      </c>
      <c r="H93" s="285" t="s">
        <v>66</v>
      </c>
      <c r="I93" s="251" t="s">
        <v>258</v>
      </c>
      <c r="J93" s="251" t="s">
        <v>259</v>
      </c>
      <c r="K93" s="255" t="s">
        <v>29</v>
      </c>
      <c r="L93" s="281"/>
      <c r="M93" s="281"/>
      <c r="N93" s="281"/>
      <c r="Q93" s="283"/>
    </row>
    <row r="94" spans="1:17" ht="12.75" customHeight="1" x14ac:dyDescent="0.2">
      <c r="A94" s="249">
        <v>38595</v>
      </c>
      <c r="B94" s="250" t="s">
        <v>261</v>
      </c>
      <c r="C94" s="251" t="s">
        <v>262</v>
      </c>
      <c r="D94" s="251" t="s">
        <v>263</v>
      </c>
      <c r="E94" s="251"/>
      <c r="F94" s="252" t="s">
        <v>43</v>
      </c>
      <c r="G94" s="284" t="s">
        <v>67</v>
      </c>
      <c r="H94" s="285" t="s">
        <v>104</v>
      </c>
      <c r="I94" s="251" t="s">
        <v>258</v>
      </c>
      <c r="J94" s="251" t="s">
        <v>259</v>
      </c>
      <c r="K94" s="255" t="s">
        <v>29</v>
      </c>
      <c r="L94" s="281"/>
      <c r="M94" s="281"/>
      <c r="N94" s="281"/>
      <c r="Q94" s="283"/>
    </row>
    <row r="95" spans="1:17" ht="12.75" customHeight="1" x14ac:dyDescent="0.2">
      <c r="A95" s="249">
        <v>38236</v>
      </c>
      <c r="B95" s="250" t="s">
        <v>2260</v>
      </c>
      <c r="C95" s="251" t="s">
        <v>80</v>
      </c>
      <c r="D95" s="251" t="s">
        <v>2261</v>
      </c>
      <c r="E95" s="251"/>
      <c r="F95" s="252" t="s">
        <v>43</v>
      </c>
      <c r="G95" s="284" t="s">
        <v>52</v>
      </c>
      <c r="H95" s="285" t="s">
        <v>51</v>
      </c>
      <c r="I95" s="257" t="s">
        <v>258</v>
      </c>
      <c r="J95" s="251" t="s">
        <v>259</v>
      </c>
      <c r="K95" s="255" t="s">
        <v>29</v>
      </c>
      <c r="L95" s="281"/>
      <c r="M95" s="281"/>
      <c r="N95" s="281"/>
      <c r="Q95" s="283"/>
    </row>
    <row r="96" spans="1:17" ht="12.75" customHeight="1" x14ac:dyDescent="0.2">
      <c r="A96" s="249">
        <v>16086</v>
      </c>
      <c r="B96" s="250" t="s">
        <v>2265</v>
      </c>
      <c r="C96" s="251" t="s">
        <v>2012</v>
      </c>
      <c r="D96" s="251" t="s">
        <v>99</v>
      </c>
      <c r="E96" s="251"/>
      <c r="F96" s="252" t="s">
        <v>43</v>
      </c>
      <c r="G96" s="284" t="s">
        <v>44</v>
      </c>
      <c r="H96" s="285" t="s">
        <v>180</v>
      </c>
      <c r="I96" s="251" t="s">
        <v>258</v>
      </c>
      <c r="J96" s="251" t="s">
        <v>259</v>
      </c>
      <c r="K96" s="255" t="s">
        <v>29</v>
      </c>
      <c r="L96" s="281"/>
      <c r="M96" s="281"/>
      <c r="N96" s="281"/>
      <c r="Q96" s="283"/>
    </row>
    <row r="97" spans="1:17" ht="12.75" customHeight="1" x14ac:dyDescent="0.2">
      <c r="A97" s="249">
        <v>38909</v>
      </c>
      <c r="B97" s="250" t="s">
        <v>2432</v>
      </c>
      <c r="C97" s="251" t="s">
        <v>2012</v>
      </c>
      <c r="D97" s="251" t="s">
        <v>990</v>
      </c>
      <c r="E97" s="251"/>
      <c r="F97" s="252" t="s">
        <v>43</v>
      </c>
      <c r="G97" s="284" t="s">
        <v>94</v>
      </c>
      <c r="H97" s="285"/>
      <c r="I97" s="251" t="s">
        <v>258</v>
      </c>
      <c r="J97" s="251" t="s">
        <v>259</v>
      </c>
      <c r="K97" s="255" t="s">
        <v>29</v>
      </c>
      <c r="L97" s="281"/>
      <c r="M97" s="281"/>
      <c r="N97" s="281"/>
      <c r="Q97" s="283"/>
    </row>
    <row r="98" spans="1:17" ht="12.75" customHeight="1" x14ac:dyDescent="0.2">
      <c r="A98" s="249">
        <v>16092</v>
      </c>
      <c r="B98" s="250" t="s">
        <v>2262</v>
      </c>
      <c r="C98" s="251" t="s">
        <v>2012</v>
      </c>
      <c r="D98" s="251" t="s">
        <v>2263</v>
      </c>
      <c r="E98" s="251"/>
      <c r="F98" s="252" t="s">
        <v>49</v>
      </c>
      <c r="G98" s="284" t="s">
        <v>228</v>
      </c>
      <c r="H98" s="285" t="s">
        <v>51</v>
      </c>
      <c r="I98" s="251" t="s">
        <v>258</v>
      </c>
      <c r="J98" s="251" t="s">
        <v>259</v>
      </c>
      <c r="K98" s="255" t="s">
        <v>29</v>
      </c>
      <c r="L98" s="281"/>
      <c r="M98" s="281"/>
      <c r="N98" s="281"/>
      <c r="Q98" s="283"/>
    </row>
    <row r="99" spans="1:17" ht="12.75" customHeight="1" x14ac:dyDescent="0.2">
      <c r="A99" s="249">
        <v>16088</v>
      </c>
      <c r="B99" s="250" t="s">
        <v>2264</v>
      </c>
      <c r="C99" s="251" t="s">
        <v>2012</v>
      </c>
      <c r="D99" s="251" t="s">
        <v>265</v>
      </c>
      <c r="E99" s="251"/>
      <c r="F99" s="252" t="s">
        <v>43</v>
      </c>
      <c r="G99" s="284" t="s">
        <v>44</v>
      </c>
      <c r="H99" s="285" t="s">
        <v>45</v>
      </c>
      <c r="I99" s="251" t="s">
        <v>258</v>
      </c>
      <c r="J99" s="251" t="s">
        <v>259</v>
      </c>
      <c r="K99" s="255" t="s">
        <v>29</v>
      </c>
      <c r="L99" s="281"/>
      <c r="M99" s="281"/>
      <c r="N99" s="281"/>
      <c r="Q99" s="283"/>
    </row>
    <row r="100" spans="1:17" ht="12.75" customHeight="1" x14ac:dyDescent="0.2">
      <c r="A100" s="249">
        <v>16083</v>
      </c>
      <c r="B100" s="250" t="s">
        <v>2013</v>
      </c>
      <c r="C100" s="251" t="s">
        <v>2012</v>
      </c>
      <c r="D100" s="251" t="s">
        <v>97</v>
      </c>
      <c r="E100" s="251"/>
      <c r="F100" s="252" t="s">
        <v>43</v>
      </c>
      <c r="G100" s="284" t="s">
        <v>58</v>
      </c>
      <c r="H100" s="285" t="s">
        <v>51</v>
      </c>
      <c r="I100" s="251" t="s">
        <v>258</v>
      </c>
      <c r="J100" s="251" t="s">
        <v>259</v>
      </c>
      <c r="K100" s="255" t="s">
        <v>29</v>
      </c>
    </row>
    <row r="101" spans="1:17" ht="12.75" customHeight="1" x14ac:dyDescent="0.2">
      <c r="A101" s="249">
        <v>38597</v>
      </c>
      <c r="B101" s="250" t="s">
        <v>266</v>
      </c>
      <c r="C101" s="251" t="s">
        <v>267</v>
      </c>
      <c r="D101" s="251" t="s">
        <v>268</v>
      </c>
      <c r="E101" s="251"/>
      <c r="F101" s="252" t="s">
        <v>43</v>
      </c>
      <c r="G101" s="284" t="s">
        <v>44</v>
      </c>
      <c r="H101" s="285" t="s">
        <v>45</v>
      </c>
      <c r="I101" s="251" t="s">
        <v>258</v>
      </c>
      <c r="J101" s="251" t="s">
        <v>259</v>
      </c>
      <c r="K101" s="255" t="s">
        <v>29</v>
      </c>
    </row>
    <row r="102" spans="1:17" ht="12.75" customHeight="1" x14ac:dyDescent="0.2">
      <c r="A102" s="249">
        <v>25731</v>
      </c>
      <c r="B102" s="250" t="s">
        <v>2266</v>
      </c>
      <c r="C102" s="251" t="s">
        <v>2267</v>
      </c>
      <c r="D102" s="251" t="s">
        <v>117</v>
      </c>
      <c r="E102" s="251"/>
      <c r="F102" s="252" t="s">
        <v>43</v>
      </c>
      <c r="G102" s="284" t="s">
        <v>44</v>
      </c>
      <c r="H102" s="285" t="s">
        <v>45</v>
      </c>
      <c r="I102" s="251" t="s">
        <v>258</v>
      </c>
      <c r="J102" s="251" t="s">
        <v>259</v>
      </c>
      <c r="K102" s="255" t="s">
        <v>29</v>
      </c>
      <c r="L102" s="281"/>
      <c r="M102" s="281"/>
      <c r="N102" s="281"/>
      <c r="Q102" s="283"/>
    </row>
    <row r="103" spans="1:17" ht="12.75" customHeight="1" x14ac:dyDescent="0.2">
      <c r="A103" s="249">
        <v>16999</v>
      </c>
      <c r="B103" s="250" t="s">
        <v>2382</v>
      </c>
      <c r="C103" s="251" t="s">
        <v>272</v>
      </c>
      <c r="D103" s="251" t="s">
        <v>120</v>
      </c>
      <c r="E103" s="251"/>
      <c r="F103" s="252" t="s">
        <v>43</v>
      </c>
      <c r="G103" s="284" t="s">
        <v>58</v>
      </c>
      <c r="H103" s="285"/>
      <c r="I103" s="251" t="s">
        <v>273</v>
      </c>
      <c r="J103" s="251" t="s">
        <v>274</v>
      </c>
      <c r="K103" s="255" t="s">
        <v>275</v>
      </c>
      <c r="L103" s="281"/>
      <c r="M103" s="281"/>
      <c r="N103" s="281"/>
      <c r="Q103" s="283"/>
    </row>
    <row r="104" spans="1:17" ht="12.75" customHeight="1" x14ac:dyDescent="0.2">
      <c r="A104" s="249">
        <v>25945</v>
      </c>
      <c r="B104" s="250" t="s">
        <v>2268</v>
      </c>
      <c r="C104" s="251" t="s">
        <v>2269</v>
      </c>
      <c r="D104" s="251" t="s">
        <v>622</v>
      </c>
      <c r="E104" s="251"/>
      <c r="F104" s="252" t="s">
        <v>43</v>
      </c>
      <c r="G104" s="284" t="s">
        <v>52</v>
      </c>
      <c r="H104" s="285" t="s">
        <v>45</v>
      </c>
      <c r="I104" s="251" t="s">
        <v>273</v>
      </c>
      <c r="J104" s="251" t="s">
        <v>274</v>
      </c>
      <c r="K104" s="255" t="s">
        <v>275</v>
      </c>
      <c r="L104" s="281"/>
      <c r="M104" s="281"/>
      <c r="N104" s="281"/>
      <c r="Q104" s="283"/>
    </row>
    <row r="105" spans="1:17" ht="12.75" customHeight="1" x14ac:dyDescent="0.2">
      <c r="A105" s="249">
        <v>38033</v>
      </c>
      <c r="B105" s="250" t="s">
        <v>276</v>
      </c>
      <c r="C105" s="251" t="s">
        <v>277</v>
      </c>
      <c r="D105" s="251" t="s">
        <v>99</v>
      </c>
      <c r="E105" s="251"/>
      <c r="F105" s="252" t="s">
        <v>43</v>
      </c>
      <c r="G105" s="284" t="s">
        <v>44</v>
      </c>
      <c r="H105" s="285" t="s">
        <v>66</v>
      </c>
      <c r="I105" s="251" t="s">
        <v>273</v>
      </c>
      <c r="J105" s="251" t="s">
        <v>274</v>
      </c>
      <c r="K105" s="255" t="s">
        <v>275</v>
      </c>
      <c r="L105" s="281"/>
      <c r="M105" s="281"/>
      <c r="N105" s="281"/>
      <c r="Q105" s="283"/>
    </row>
    <row r="106" spans="1:17" ht="12.75" customHeight="1" x14ac:dyDescent="0.2">
      <c r="A106" s="249">
        <v>38034</v>
      </c>
      <c r="B106" s="250" t="s">
        <v>278</v>
      </c>
      <c r="C106" s="251" t="s">
        <v>277</v>
      </c>
      <c r="D106" s="251" t="s">
        <v>64</v>
      </c>
      <c r="E106" s="251"/>
      <c r="F106" s="252" t="s">
        <v>43</v>
      </c>
      <c r="G106" s="284" t="s">
        <v>44</v>
      </c>
      <c r="H106" s="285" t="s">
        <v>66</v>
      </c>
      <c r="I106" s="251" t="s">
        <v>273</v>
      </c>
      <c r="J106" s="251" t="s">
        <v>274</v>
      </c>
      <c r="K106" s="255" t="s">
        <v>275</v>
      </c>
      <c r="L106" s="281"/>
      <c r="M106" s="281"/>
      <c r="N106" s="281"/>
      <c r="Q106" s="283"/>
    </row>
    <row r="107" spans="1:17" ht="12.75" customHeight="1" x14ac:dyDescent="0.2">
      <c r="A107" s="249">
        <v>38270</v>
      </c>
      <c r="B107" s="250" t="s">
        <v>609</v>
      </c>
      <c r="C107" s="251" t="s">
        <v>610</v>
      </c>
      <c r="D107" s="251" t="s">
        <v>132</v>
      </c>
      <c r="E107" s="251"/>
      <c r="F107" s="252" t="s">
        <v>43</v>
      </c>
      <c r="G107" s="284" t="s">
        <v>44</v>
      </c>
      <c r="H107" s="285" t="s">
        <v>66</v>
      </c>
      <c r="I107" s="251" t="s">
        <v>273</v>
      </c>
      <c r="J107" s="251" t="s">
        <v>274</v>
      </c>
      <c r="K107" s="255" t="s">
        <v>275</v>
      </c>
    </row>
    <row r="108" spans="1:17" ht="12.75" customHeight="1" x14ac:dyDescent="0.2">
      <c r="A108" s="249">
        <v>38565</v>
      </c>
      <c r="B108" s="250" t="s">
        <v>2433</v>
      </c>
      <c r="C108" s="251" t="s">
        <v>2434</v>
      </c>
      <c r="D108" s="251" t="s">
        <v>282</v>
      </c>
      <c r="E108" s="251"/>
      <c r="F108" s="252" t="s">
        <v>43</v>
      </c>
      <c r="G108" s="253" t="s">
        <v>44</v>
      </c>
      <c r="H108" s="254">
        <v>0</v>
      </c>
      <c r="I108" s="251" t="s">
        <v>273</v>
      </c>
      <c r="J108" s="251" t="s">
        <v>274</v>
      </c>
      <c r="K108" s="255" t="s">
        <v>275</v>
      </c>
    </row>
    <row r="109" spans="1:17" ht="12.75" customHeight="1" x14ac:dyDescent="0.2">
      <c r="A109" s="249">
        <v>38237</v>
      </c>
      <c r="B109" s="250" t="s">
        <v>283</v>
      </c>
      <c r="C109" s="251" t="s">
        <v>131</v>
      </c>
      <c r="D109" s="251" t="s">
        <v>64</v>
      </c>
      <c r="E109" s="251"/>
      <c r="F109" s="252" t="s">
        <v>43</v>
      </c>
      <c r="G109" s="284" t="s">
        <v>44</v>
      </c>
      <c r="H109" s="285" t="s">
        <v>45</v>
      </c>
      <c r="I109" s="251" t="s">
        <v>273</v>
      </c>
      <c r="J109" s="251" t="s">
        <v>274</v>
      </c>
      <c r="K109" s="255" t="s">
        <v>275</v>
      </c>
    </row>
    <row r="110" spans="1:17" ht="12.75" customHeight="1" x14ac:dyDescent="0.2">
      <c r="A110" s="249">
        <v>38322</v>
      </c>
      <c r="B110" s="250" t="s">
        <v>2270</v>
      </c>
      <c r="C110" s="251" t="s">
        <v>2271</v>
      </c>
      <c r="D110" s="251" t="s">
        <v>284</v>
      </c>
      <c r="E110" s="251"/>
      <c r="F110" s="252" t="s">
        <v>43</v>
      </c>
      <c r="G110" s="284" t="s">
        <v>58</v>
      </c>
      <c r="H110" s="285" t="s">
        <v>45</v>
      </c>
      <c r="I110" s="251" t="s">
        <v>273</v>
      </c>
      <c r="J110" s="251" t="s">
        <v>274</v>
      </c>
      <c r="K110" s="255" t="s">
        <v>275</v>
      </c>
    </row>
    <row r="111" spans="1:17" ht="12.75" customHeight="1" x14ac:dyDescent="0.2">
      <c r="A111" s="249">
        <v>38183</v>
      </c>
      <c r="B111" s="250" t="s">
        <v>2272</v>
      </c>
      <c r="C111" s="251" t="s">
        <v>2271</v>
      </c>
      <c r="D111" s="251" t="s">
        <v>285</v>
      </c>
      <c r="E111" s="251"/>
      <c r="F111" s="252" t="s">
        <v>43</v>
      </c>
      <c r="G111" s="284" t="s">
        <v>44</v>
      </c>
      <c r="H111" s="285" t="s">
        <v>180</v>
      </c>
      <c r="I111" s="251" t="s">
        <v>273</v>
      </c>
      <c r="J111" s="251" t="s">
        <v>274</v>
      </c>
      <c r="K111" s="255" t="s">
        <v>275</v>
      </c>
    </row>
    <row r="112" spans="1:17" ht="12.75" customHeight="1" x14ac:dyDescent="0.2">
      <c r="A112" s="249">
        <v>38250</v>
      </c>
      <c r="B112" s="250" t="s">
        <v>286</v>
      </c>
      <c r="C112" s="251" t="s">
        <v>287</v>
      </c>
      <c r="D112" s="251" t="s">
        <v>179</v>
      </c>
      <c r="E112" s="251"/>
      <c r="F112" s="252" t="s">
        <v>43</v>
      </c>
      <c r="G112" s="284" t="s">
        <v>44</v>
      </c>
      <c r="H112" s="285" t="s">
        <v>45</v>
      </c>
      <c r="I112" s="251" t="s">
        <v>273</v>
      </c>
      <c r="J112" s="251" t="s">
        <v>274</v>
      </c>
      <c r="K112" s="255" t="s">
        <v>275</v>
      </c>
    </row>
    <row r="113" spans="1:17" ht="12.75" customHeight="1" x14ac:dyDescent="0.2">
      <c r="A113" s="249">
        <v>38898</v>
      </c>
      <c r="B113" s="250" t="s">
        <v>2383</v>
      </c>
      <c r="C113" s="251" t="s">
        <v>2384</v>
      </c>
      <c r="D113" s="251" t="s">
        <v>598</v>
      </c>
      <c r="E113" s="251"/>
      <c r="F113" s="252" t="s">
        <v>43</v>
      </c>
      <c r="G113" s="284" t="s">
        <v>44</v>
      </c>
      <c r="H113" s="285"/>
      <c r="I113" s="251" t="s">
        <v>273</v>
      </c>
      <c r="J113" s="251" t="s">
        <v>274</v>
      </c>
      <c r="K113" s="255" t="s">
        <v>275</v>
      </c>
    </row>
    <row r="114" spans="1:17" ht="12.75" customHeight="1" x14ac:dyDescent="0.2">
      <c r="A114" s="249">
        <v>38899</v>
      </c>
      <c r="B114" s="250" t="s">
        <v>2385</v>
      </c>
      <c r="C114" s="251" t="s">
        <v>2386</v>
      </c>
      <c r="D114" s="251" t="s">
        <v>2387</v>
      </c>
      <c r="E114" s="251"/>
      <c r="F114" s="252" t="s">
        <v>49</v>
      </c>
      <c r="G114" s="253" t="s">
        <v>79</v>
      </c>
      <c r="H114" s="254">
        <v>0</v>
      </c>
      <c r="I114" s="251" t="s">
        <v>273</v>
      </c>
      <c r="J114" s="251" t="s">
        <v>274</v>
      </c>
      <c r="K114" s="255" t="s">
        <v>275</v>
      </c>
    </row>
    <row r="115" spans="1:17" s="278" customFormat="1" ht="12.75" customHeight="1" x14ac:dyDescent="0.25">
      <c r="A115" s="249">
        <v>38789</v>
      </c>
      <c r="B115" s="250" t="s">
        <v>2110</v>
      </c>
      <c r="C115" s="251" t="s">
        <v>2111</v>
      </c>
      <c r="D115" s="251" t="s">
        <v>152</v>
      </c>
      <c r="E115" s="251"/>
      <c r="F115" s="252" t="s">
        <v>49</v>
      </c>
      <c r="G115" s="284" t="s">
        <v>79</v>
      </c>
      <c r="H115" s="285" t="s">
        <v>104</v>
      </c>
      <c r="I115" s="251" t="s">
        <v>273</v>
      </c>
      <c r="J115" s="251" t="s">
        <v>274</v>
      </c>
      <c r="K115" s="255" t="s">
        <v>275</v>
      </c>
      <c r="L115" s="287"/>
      <c r="M115" s="287"/>
      <c r="N115" s="287"/>
      <c r="Q115" s="288"/>
    </row>
    <row r="116" spans="1:17" ht="12.75" customHeight="1" x14ac:dyDescent="0.2">
      <c r="A116" s="249">
        <v>25064</v>
      </c>
      <c r="B116" s="250" t="s">
        <v>1878</v>
      </c>
      <c r="C116" s="251" t="s">
        <v>1268</v>
      </c>
      <c r="D116" s="251" t="s">
        <v>87</v>
      </c>
      <c r="E116" s="251"/>
      <c r="F116" s="252" t="s">
        <v>43</v>
      </c>
      <c r="G116" s="284" t="s">
        <v>44</v>
      </c>
      <c r="H116" s="285" t="s">
        <v>180</v>
      </c>
      <c r="I116" s="251" t="s">
        <v>273</v>
      </c>
      <c r="J116" s="251" t="s">
        <v>274</v>
      </c>
      <c r="K116" s="255" t="s">
        <v>275</v>
      </c>
    </row>
    <row r="117" spans="1:17" ht="12.75" customHeight="1" x14ac:dyDescent="0.2">
      <c r="A117" s="249">
        <v>38926</v>
      </c>
      <c r="B117" s="250" t="s">
        <v>2435</v>
      </c>
      <c r="C117" s="251" t="s">
        <v>290</v>
      </c>
      <c r="D117" s="251" t="s">
        <v>73</v>
      </c>
      <c r="E117" s="251"/>
      <c r="F117" s="252" t="s">
        <v>43</v>
      </c>
      <c r="G117" s="284" t="s">
        <v>52</v>
      </c>
      <c r="H117" s="285">
        <v>0</v>
      </c>
      <c r="I117" s="251" t="s">
        <v>273</v>
      </c>
      <c r="J117" s="251" t="s">
        <v>274</v>
      </c>
      <c r="K117" s="255" t="s">
        <v>275</v>
      </c>
    </row>
    <row r="118" spans="1:17" ht="12.75" customHeight="1" x14ac:dyDescent="0.2">
      <c r="A118" s="249">
        <v>38684</v>
      </c>
      <c r="B118" s="250" t="s">
        <v>289</v>
      </c>
      <c r="C118" s="251" t="s">
        <v>290</v>
      </c>
      <c r="D118" s="251" t="s">
        <v>291</v>
      </c>
      <c r="E118" s="251"/>
      <c r="F118" s="252" t="s">
        <v>43</v>
      </c>
      <c r="G118" s="284" t="s">
        <v>94</v>
      </c>
      <c r="H118" s="285" t="s">
        <v>66</v>
      </c>
      <c r="I118" s="251" t="s">
        <v>273</v>
      </c>
      <c r="J118" s="251" t="s">
        <v>274</v>
      </c>
      <c r="K118" s="255" t="s">
        <v>275</v>
      </c>
    </row>
    <row r="119" spans="1:17" ht="12.75" customHeight="1" x14ac:dyDescent="0.2">
      <c r="A119" s="249">
        <v>38731</v>
      </c>
      <c r="B119" s="250" t="s">
        <v>1872</v>
      </c>
      <c r="C119" s="251" t="s">
        <v>1873</v>
      </c>
      <c r="D119" s="251" t="s">
        <v>1874</v>
      </c>
      <c r="E119" s="251"/>
      <c r="F119" s="252" t="s">
        <v>43</v>
      </c>
      <c r="G119" s="284" t="s">
        <v>44</v>
      </c>
      <c r="H119" s="285" t="s">
        <v>51</v>
      </c>
      <c r="I119" s="251" t="s">
        <v>273</v>
      </c>
      <c r="J119" s="251" t="s">
        <v>274</v>
      </c>
      <c r="K119" s="255" t="s">
        <v>275</v>
      </c>
    </row>
    <row r="120" spans="1:17" ht="12.75" customHeight="1" x14ac:dyDescent="0.2">
      <c r="A120" s="249">
        <v>38631</v>
      </c>
      <c r="B120" s="250" t="s">
        <v>2436</v>
      </c>
      <c r="C120" s="251" t="s">
        <v>215</v>
      </c>
      <c r="D120" s="251" t="s">
        <v>1779</v>
      </c>
      <c r="E120" s="251"/>
      <c r="F120" s="252" t="s">
        <v>43</v>
      </c>
      <c r="G120" s="258" t="s">
        <v>44</v>
      </c>
      <c r="H120" s="259">
        <v>0</v>
      </c>
      <c r="I120" s="251" t="s">
        <v>273</v>
      </c>
      <c r="J120" s="251" t="s">
        <v>274</v>
      </c>
      <c r="K120" s="255" t="s">
        <v>275</v>
      </c>
    </row>
    <row r="121" spans="1:17" ht="12.75" customHeight="1" x14ac:dyDescent="0.2">
      <c r="A121" s="249">
        <v>38173</v>
      </c>
      <c r="B121" s="250" t="s">
        <v>292</v>
      </c>
      <c r="C121" s="251" t="s">
        <v>293</v>
      </c>
      <c r="D121" s="251" t="s">
        <v>294</v>
      </c>
      <c r="E121" s="251"/>
      <c r="F121" s="252" t="s">
        <v>49</v>
      </c>
      <c r="G121" s="284" t="s">
        <v>79</v>
      </c>
      <c r="H121" s="285" t="s">
        <v>45</v>
      </c>
      <c r="I121" s="251" t="s">
        <v>273</v>
      </c>
      <c r="J121" s="251" t="s">
        <v>274</v>
      </c>
      <c r="K121" s="255" t="s">
        <v>275</v>
      </c>
    </row>
    <row r="122" spans="1:17" ht="12.75" customHeight="1" x14ac:dyDescent="0.2">
      <c r="A122" s="249">
        <v>38172</v>
      </c>
      <c r="B122" s="250" t="s">
        <v>296</v>
      </c>
      <c r="C122" s="251" t="s">
        <v>297</v>
      </c>
      <c r="D122" s="251" t="s">
        <v>53</v>
      </c>
      <c r="E122" s="251"/>
      <c r="F122" s="252" t="s">
        <v>43</v>
      </c>
      <c r="G122" s="284" t="s">
        <v>44</v>
      </c>
      <c r="H122" s="285" t="s">
        <v>51</v>
      </c>
      <c r="I122" s="251" t="s">
        <v>273</v>
      </c>
      <c r="J122" s="251" t="s">
        <v>274</v>
      </c>
      <c r="K122" s="255" t="s">
        <v>275</v>
      </c>
    </row>
    <row r="123" spans="1:17" ht="12.75" customHeight="1" x14ac:dyDescent="0.2">
      <c r="A123" s="249">
        <v>7926</v>
      </c>
      <c r="B123" s="250" t="s">
        <v>298</v>
      </c>
      <c r="C123" s="251" t="s">
        <v>299</v>
      </c>
      <c r="D123" s="251" t="s">
        <v>300</v>
      </c>
      <c r="E123" s="251"/>
      <c r="F123" s="252" t="s">
        <v>43</v>
      </c>
      <c r="G123" s="284" t="s">
        <v>52</v>
      </c>
      <c r="H123" s="285"/>
      <c r="I123" s="251" t="s">
        <v>301</v>
      </c>
      <c r="J123" s="251" t="s">
        <v>302</v>
      </c>
      <c r="K123" s="255" t="s">
        <v>303</v>
      </c>
    </row>
    <row r="124" spans="1:17" ht="12.75" customHeight="1" x14ac:dyDescent="0.2">
      <c r="A124" s="249">
        <v>7928</v>
      </c>
      <c r="B124" s="250" t="s">
        <v>304</v>
      </c>
      <c r="C124" s="251" t="s">
        <v>264</v>
      </c>
      <c r="D124" s="251" t="s">
        <v>305</v>
      </c>
      <c r="E124" s="251"/>
      <c r="F124" s="252" t="s">
        <v>43</v>
      </c>
      <c r="G124" s="284" t="s">
        <v>44</v>
      </c>
      <c r="H124" s="285" t="s">
        <v>51</v>
      </c>
      <c r="I124" s="251" t="s">
        <v>301</v>
      </c>
      <c r="J124" s="251" t="s">
        <v>302</v>
      </c>
      <c r="K124" s="255" t="s">
        <v>303</v>
      </c>
    </row>
    <row r="125" spans="1:17" ht="12.75" customHeight="1" x14ac:dyDescent="0.2">
      <c r="A125" s="249">
        <v>7930</v>
      </c>
      <c r="B125" s="250" t="s">
        <v>306</v>
      </c>
      <c r="C125" s="251" t="s">
        <v>307</v>
      </c>
      <c r="D125" s="251" t="s">
        <v>308</v>
      </c>
      <c r="E125" s="251"/>
      <c r="F125" s="252" t="s">
        <v>49</v>
      </c>
      <c r="G125" s="284" t="s">
        <v>50</v>
      </c>
      <c r="H125" s="285" t="s">
        <v>45</v>
      </c>
      <c r="I125" s="251" t="s">
        <v>301</v>
      </c>
      <c r="J125" s="251" t="s">
        <v>302</v>
      </c>
      <c r="K125" s="255" t="s">
        <v>303</v>
      </c>
    </row>
    <row r="126" spans="1:17" ht="12.75" customHeight="1" x14ac:dyDescent="0.2">
      <c r="A126" s="249">
        <v>7927</v>
      </c>
      <c r="B126" s="250" t="s">
        <v>309</v>
      </c>
      <c r="C126" s="251" t="s">
        <v>310</v>
      </c>
      <c r="D126" s="251" t="s">
        <v>73</v>
      </c>
      <c r="E126" s="251"/>
      <c r="F126" s="252" t="s">
        <v>43</v>
      </c>
      <c r="G126" s="284" t="s">
        <v>52</v>
      </c>
      <c r="H126" s="285" t="s">
        <v>45</v>
      </c>
      <c r="I126" s="251" t="s">
        <v>301</v>
      </c>
      <c r="J126" s="251" t="s">
        <v>302</v>
      </c>
      <c r="K126" s="255" t="s">
        <v>303</v>
      </c>
    </row>
    <row r="127" spans="1:17" ht="12.75" customHeight="1" x14ac:dyDescent="0.2">
      <c r="A127" s="249">
        <v>16977</v>
      </c>
      <c r="B127" s="250" t="s">
        <v>311</v>
      </c>
      <c r="C127" s="257" t="s">
        <v>209</v>
      </c>
      <c r="D127" s="257" t="s">
        <v>53</v>
      </c>
      <c r="E127" s="257" t="s">
        <v>2374</v>
      </c>
      <c r="F127" s="252" t="s">
        <v>43</v>
      </c>
      <c r="G127" s="284" t="s">
        <v>44</v>
      </c>
      <c r="H127" s="285" t="s">
        <v>180</v>
      </c>
      <c r="I127" s="257" t="s">
        <v>301</v>
      </c>
      <c r="J127" s="257" t="s">
        <v>302</v>
      </c>
      <c r="K127" s="255" t="s">
        <v>303</v>
      </c>
    </row>
    <row r="128" spans="1:17" ht="12.75" customHeight="1" x14ac:dyDescent="0.2">
      <c r="A128" s="249">
        <v>7929</v>
      </c>
      <c r="B128" s="250" t="s">
        <v>312</v>
      </c>
      <c r="C128" s="251" t="s">
        <v>313</v>
      </c>
      <c r="D128" s="251" t="s">
        <v>314</v>
      </c>
      <c r="E128" s="251"/>
      <c r="F128" s="252" t="s">
        <v>49</v>
      </c>
      <c r="G128" s="260" t="s">
        <v>228</v>
      </c>
      <c r="H128" s="261">
        <v>0</v>
      </c>
      <c r="I128" s="251" t="s">
        <v>301</v>
      </c>
      <c r="J128" s="251" t="s">
        <v>302</v>
      </c>
      <c r="K128" s="255" t="s">
        <v>303</v>
      </c>
    </row>
    <row r="129" spans="1:11" ht="12.75" customHeight="1" x14ac:dyDescent="0.2">
      <c r="A129" s="249">
        <v>38882</v>
      </c>
      <c r="B129" s="250" t="s">
        <v>2333</v>
      </c>
      <c r="C129" s="251" t="s">
        <v>2334</v>
      </c>
      <c r="D129" s="251" t="s">
        <v>231</v>
      </c>
      <c r="E129" s="251"/>
      <c r="F129" s="252" t="s">
        <v>43</v>
      </c>
      <c r="G129" s="284" t="s">
        <v>67</v>
      </c>
      <c r="H129" s="285"/>
      <c r="I129" s="251" t="s">
        <v>301</v>
      </c>
      <c r="J129" s="251" t="s">
        <v>302</v>
      </c>
      <c r="K129" s="255" t="s">
        <v>303</v>
      </c>
    </row>
    <row r="130" spans="1:11" ht="12.75" customHeight="1" x14ac:dyDescent="0.2">
      <c r="A130" s="249">
        <v>38881</v>
      </c>
      <c r="B130" s="250" t="s">
        <v>2335</v>
      </c>
      <c r="C130" s="251" t="s">
        <v>2334</v>
      </c>
      <c r="D130" s="251" t="s">
        <v>2336</v>
      </c>
      <c r="E130" s="251"/>
      <c r="F130" s="252" t="s">
        <v>43</v>
      </c>
      <c r="G130" s="284" t="s">
        <v>44</v>
      </c>
      <c r="H130" s="285"/>
      <c r="I130" s="251" t="s">
        <v>301</v>
      </c>
      <c r="J130" s="251" t="s">
        <v>302</v>
      </c>
      <c r="K130" s="255" t="s">
        <v>303</v>
      </c>
    </row>
    <row r="131" spans="1:11" ht="12.75" customHeight="1" x14ac:dyDescent="0.2">
      <c r="A131" s="249">
        <v>38697</v>
      </c>
      <c r="B131" s="250" t="s">
        <v>316</v>
      </c>
      <c r="C131" s="251" t="s">
        <v>317</v>
      </c>
      <c r="D131" s="251" t="s">
        <v>318</v>
      </c>
      <c r="E131" s="251"/>
      <c r="F131" s="252" t="s">
        <v>49</v>
      </c>
      <c r="G131" s="284" t="s">
        <v>139</v>
      </c>
      <c r="H131" s="285" t="s">
        <v>51</v>
      </c>
      <c r="I131" s="251" t="s">
        <v>319</v>
      </c>
      <c r="J131" s="251" t="s">
        <v>302</v>
      </c>
      <c r="K131" s="255" t="s">
        <v>303</v>
      </c>
    </row>
    <row r="132" spans="1:11" ht="12.75" customHeight="1" x14ac:dyDescent="0.2">
      <c r="A132" s="249">
        <v>38512</v>
      </c>
      <c r="B132" s="250" t="s">
        <v>320</v>
      </c>
      <c r="C132" s="251" t="s">
        <v>321</v>
      </c>
      <c r="D132" s="251" t="s">
        <v>322</v>
      </c>
      <c r="E132" s="251"/>
      <c r="F132" s="252" t="s">
        <v>49</v>
      </c>
      <c r="G132" s="284" t="s">
        <v>228</v>
      </c>
      <c r="H132" s="285" t="s">
        <v>45</v>
      </c>
      <c r="I132" s="251" t="s">
        <v>319</v>
      </c>
      <c r="J132" s="251" t="s">
        <v>302</v>
      </c>
      <c r="K132" s="255" t="s">
        <v>303</v>
      </c>
    </row>
    <row r="133" spans="1:11" ht="12.75" customHeight="1" x14ac:dyDescent="0.2">
      <c r="A133" s="249">
        <v>7956</v>
      </c>
      <c r="B133" s="250" t="s">
        <v>323</v>
      </c>
      <c r="C133" s="251" t="s">
        <v>324</v>
      </c>
      <c r="D133" s="251" t="s">
        <v>167</v>
      </c>
      <c r="E133" s="251"/>
      <c r="F133" s="252" t="s">
        <v>49</v>
      </c>
      <c r="G133" s="284" t="s">
        <v>50</v>
      </c>
      <c r="H133" s="285" t="s">
        <v>51</v>
      </c>
      <c r="I133" s="251" t="s">
        <v>319</v>
      </c>
      <c r="J133" s="251" t="s">
        <v>302</v>
      </c>
      <c r="K133" s="255" t="s">
        <v>303</v>
      </c>
    </row>
    <row r="134" spans="1:11" s="278" customFormat="1" ht="12.75" customHeight="1" x14ac:dyDescent="0.25">
      <c r="A134" s="249">
        <v>7946</v>
      </c>
      <c r="B134" s="250" t="s">
        <v>325</v>
      </c>
      <c r="C134" s="251" t="s">
        <v>324</v>
      </c>
      <c r="D134" s="251" t="s">
        <v>73</v>
      </c>
      <c r="E134" s="251"/>
      <c r="F134" s="252" t="s">
        <v>43</v>
      </c>
      <c r="G134" s="284" t="s">
        <v>52</v>
      </c>
      <c r="H134" s="285" t="s">
        <v>104</v>
      </c>
      <c r="I134" s="251" t="s">
        <v>319</v>
      </c>
      <c r="J134" s="251" t="s">
        <v>302</v>
      </c>
      <c r="K134" s="255" t="s">
        <v>303</v>
      </c>
    </row>
    <row r="135" spans="1:11" ht="12.75" customHeight="1" x14ac:dyDescent="0.2">
      <c r="A135" s="249">
        <v>7952</v>
      </c>
      <c r="B135" s="250" t="s">
        <v>326</v>
      </c>
      <c r="C135" s="251" t="s">
        <v>327</v>
      </c>
      <c r="D135" s="251" t="s">
        <v>328</v>
      </c>
      <c r="E135" s="251"/>
      <c r="F135" s="252" t="s">
        <v>49</v>
      </c>
      <c r="G135" s="284" t="s">
        <v>228</v>
      </c>
      <c r="H135" s="285"/>
      <c r="I135" s="251" t="s">
        <v>319</v>
      </c>
      <c r="J135" s="251" t="s">
        <v>302</v>
      </c>
      <c r="K135" s="255" t="s">
        <v>303</v>
      </c>
    </row>
    <row r="136" spans="1:11" ht="12.75" customHeight="1" x14ac:dyDescent="0.2">
      <c r="A136" s="249">
        <v>25310</v>
      </c>
      <c r="B136" s="250" t="s">
        <v>329</v>
      </c>
      <c r="C136" s="257" t="s">
        <v>330</v>
      </c>
      <c r="D136" s="257" t="s">
        <v>331</v>
      </c>
      <c r="E136" s="257" t="s">
        <v>2374</v>
      </c>
      <c r="F136" s="252" t="s">
        <v>43</v>
      </c>
      <c r="G136" s="284" t="s">
        <v>44</v>
      </c>
      <c r="H136" s="285" t="s">
        <v>51</v>
      </c>
      <c r="I136" s="257" t="s">
        <v>319</v>
      </c>
      <c r="J136" s="257" t="s">
        <v>302</v>
      </c>
      <c r="K136" s="255" t="s">
        <v>303</v>
      </c>
    </row>
    <row r="137" spans="1:11" ht="12.75" customHeight="1" x14ac:dyDescent="0.2">
      <c r="A137" s="249">
        <v>38879</v>
      </c>
      <c r="B137" s="250" t="s">
        <v>2337</v>
      </c>
      <c r="C137" s="251" t="s">
        <v>2113</v>
      </c>
      <c r="D137" s="251" t="s">
        <v>491</v>
      </c>
      <c r="E137" s="251"/>
      <c r="F137" s="252" t="s">
        <v>43</v>
      </c>
      <c r="G137" s="284" t="s">
        <v>360</v>
      </c>
      <c r="H137" s="285" t="s">
        <v>104</v>
      </c>
      <c r="I137" s="251" t="s">
        <v>319</v>
      </c>
      <c r="J137" s="251" t="s">
        <v>302</v>
      </c>
      <c r="K137" s="255" t="s">
        <v>303</v>
      </c>
    </row>
    <row r="138" spans="1:11" ht="12.75" customHeight="1" x14ac:dyDescent="0.2">
      <c r="A138" s="249">
        <v>38790</v>
      </c>
      <c r="B138" s="250" t="s">
        <v>2112</v>
      </c>
      <c r="C138" s="251" t="s">
        <v>2113</v>
      </c>
      <c r="D138" s="251" t="s">
        <v>1480</v>
      </c>
      <c r="E138" s="251"/>
      <c r="F138" s="252" t="s">
        <v>49</v>
      </c>
      <c r="G138" s="284" t="s">
        <v>139</v>
      </c>
      <c r="H138" s="285"/>
      <c r="I138" s="251" t="s">
        <v>319</v>
      </c>
      <c r="J138" s="251" t="s">
        <v>302</v>
      </c>
      <c r="K138" s="255" t="s">
        <v>303</v>
      </c>
    </row>
    <row r="139" spans="1:11" s="278" customFormat="1" ht="12.75" customHeight="1" x14ac:dyDescent="0.25">
      <c r="A139" s="249">
        <v>38880</v>
      </c>
      <c r="B139" s="250" t="s">
        <v>2338</v>
      </c>
      <c r="C139" s="251" t="s">
        <v>2115</v>
      </c>
      <c r="D139" s="251" t="s">
        <v>99</v>
      </c>
      <c r="E139" s="251"/>
      <c r="F139" s="252" t="s">
        <v>43</v>
      </c>
      <c r="G139" s="284" t="s">
        <v>67</v>
      </c>
      <c r="H139" s="285" t="s">
        <v>51</v>
      </c>
      <c r="I139" s="251" t="s">
        <v>319</v>
      </c>
      <c r="J139" s="251" t="s">
        <v>302</v>
      </c>
      <c r="K139" s="255" t="s">
        <v>303</v>
      </c>
    </row>
    <row r="140" spans="1:11" s="278" customFormat="1" ht="12.75" customHeight="1" x14ac:dyDescent="0.25">
      <c r="A140" s="249">
        <v>38825</v>
      </c>
      <c r="B140" s="250" t="s">
        <v>2114</v>
      </c>
      <c r="C140" s="251" t="s">
        <v>2115</v>
      </c>
      <c r="D140" s="251" t="s">
        <v>2116</v>
      </c>
      <c r="E140" s="251"/>
      <c r="F140" s="252" t="s">
        <v>49</v>
      </c>
      <c r="G140" s="284" t="s">
        <v>228</v>
      </c>
      <c r="H140" s="285" t="s">
        <v>45</v>
      </c>
      <c r="I140" s="251" t="s">
        <v>319</v>
      </c>
      <c r="J140" s="251" t="s">
        <v>302</v>
      </c>
      <c r="K140" s="255" t="s">
        <v>303</v>
      </c>
    </row>
    <row r="141" spans="1:11" ht="12.75" customHeight="1" x14ac:dyDescent="0.2">
      <c r="A141" s="249">
        <v>7945</v>
      </c>
      <c r="B141" s="250" t="s">
        <v>332</v>
      </c>
      <c r="C141" s="251" t="s">
        <v>295</v>
      </c>
      <c r="D141" s="251" t="s">
        <v>333</v>
      </c>
      <c r="E141" s="251"/>
      <c r="F141" s="252" t="s">
        <v>43</v>
      </c>
      <c r="G141" s="284" t="s">
        <v>52</v>
      </c>
      <c r="H141" s="285"/>
      <c r="I141" s="251" t="s">
        <v>319</v>
      </c>
      <c r="J141" s="251" t="s">
        <v>302</v>
      </c>
      <c r="K141" s="255" t="s">
        <v>303</v>
      </c>
    </row>
    <row r="142" spans="1:11" ht="12.75" customHeight="1" x14ac:dyDescent="0.2">
      <c r="A142" s="249">
        <v>7947</v>
      </c>
      <c r="B142" s="250" t="s">
        <v>1960</v>
      </c>
      <c r="C142" s="257" t="s">
        <v>345</v>
      </c>
      <c r="D142" s="257" t="s">
        <v>206</v>
      </c>
      <c r="E142" s="257" t="s">
        <v>2374</v>
      </c>
      <c r="F142" s="252" t="s">
        <v>43</v>
      </c>
      <c r="G142" s="284" t="s">
        <v>52</v>
      </c>
      <c r="H142" s="285" t="s">
        <v>51</v>
      </c>
      <c r="I142" s="257" t="s">
        <v>343</v>
      </c>
      <c r="J142" s="257" t="s">
        <v>302</v>
      </c>
      <c r="K142" s="255" t="s">
        <v>303</v>
      </c>
    </row>
    <row r="143" spans="1:11" ht="12.75" customHeight="1" x14ac:dyDescent="0.2">
      <c r="A143" s="249">
        <v>7937</v>
      </c>
      <c r="B143" s="250" t="s">
        <v>344</v>
      </c>
      <c r="C143" s="251" t="s">
        <v>345</v>
      </c>
      <c r="D143" s="251" t="s">
        <v>346</v>
      </c>
      <c r="E143" s="251"/>
      <c r="F143" s="252" t="s">
        <v>43</v>
      </c>
      <c r="G143" s="284" t="s">
        <v>44</v>
      </c>
      <c r="H143" s="285" t="s">
        <v>239</v>
      </c>
      <c r="I143" s="251" t="s">
        <v>343</v>
      </c>
      <c r="J143" s="251" t="s">
        <v>302</v>
      </c>
      <c r="K143" s="255" t="s">
        <v>303</v>
      </c>
    </row>
    <row r="144" spans="1:11" ht="12.75" customHeight="1" x14ac:dyDescent="0.2">
      <c r="A144" s="249">
        <v>7746</v>
      </c>
      <c r="B144" s="250" t="s">
        <v>347</v>
      </c>
      <c r="C144" s="251" t="s">
        <v>348</v>
      </c>
      <c r="D144" s="251" t="s">
        <v>57</v>
      </c>
      <c r="E144" s="251"/>
      <c r="F144" s="252" t="s">
        <v>43</v>
      </c>
      <c r="G144" s="284" t="s">
        <v>67</v>
      </c>
      <c r="H144" s="285" t="s">
        <v>180</v>
      </c>
      <c r="I144" s="251" t="s">
        <v>343</v>
      </c>
      <c r="J144" s="251" t="s">
        <v>302</v>
      </c>
      <c r="K144" s="255" t="s">
        <v>303</v>
      </c>
    </row>
    <row r="145" spans="1:11" ht="12.75" customHeight="1" x14ac:dyDescent="0.2">
      <c r="A145" s="249">
        <v>7977</v>
      </c>
      <c r="B145" s="250" t="s">
        <v>349</v>
      </c>
      <c r="C145" s="251" t="s">
        <v>350</v>
      </c>
      <c r="D145" s="251" t="s">
        <v>351</v>
      </c>
      <c r="E145" s="251"/>
      <c r="F145" s="252" t="s">
        <v>49</v>
      </c>
      <c r="G145" s="284" t="s">
        <v>139</v>
      </c>
      <c r="H145" s="285" t="s">
        <v>180</v>
      </c>
      <c r="I145" s="251" t="s">
        <v>343</v>
      </c>
      <c r="J145" s="251" t="s">
        <v>302</v>
      </c>
      <c r="K145" s="255" t="s">
        <v>303</v>
      </c>
    </row>
    <row r="146" spans="1:11" ht="12.75" customHeight="1" x14ac:dyDescent="0.2">
      <c r="A146" s="249">
        <v>38257</v>
      </c>
      <c r="B146" s="250" t="s">
        <v>352</v>
      </c>
      <c r="C146" s="251" t="s">
        <v>353</v>
      </c>
      <c r="D146" s="251" t="s">
        <v>354</v>
      </c>
      <c r="E146" s="251"/>
      <c r="F146" s="252" t="s">
        <v>43</v>
      </c>
      <c r="G146" s="284" t="s">
        <v>67</v>
      </c>
      <c r="H146" s="285" t="s">
        <v>45</v>
      </c>
      <c r="I146" s="251" t="s">
        <v>343</v>
      </c>
      <c r="J146" s="251" t="s">
        <v>302</v>
      </c>
      <c r="K146" s="255" t="s">
        <v>303</v>
      </c>
    </row>
    <row r="147" spans="1:11" ht="12.75" customHeight="1" x14ac:dyDescent="0.2">
      <c r="A147" s="249">
        <v>16469</v>
      </c>
      <c r="B147" s="250" t="s">
        <v>1961</v>
      </c>
      <c r="C147" s="257" t="s">
        <v>1962</v>
      </c>
      <c r="D147" s="257" t="s">
        <v>1963</v>
      </c>
      <c r="E147" s="257" t="s">
        <v>2374</v>
      </c>
      <c r="F147" s="252" t="s">
        <v>43</v>
      </c>
      <c r="G147" s="284" t="s">
        <v>67</v>
      </c>
      <c r="H147" s="285" t="s">
        <v>180</v>
      </c>
      <c r="I147" s="257" t="s">
        <v>343</v>
      </c>
      <c r="J147" s="257" t="s">
        <v>302</v>
      </c>
      <c r="K147" s="255" t="s">
        <v>303</v>
      </c>
    </row>
    <row r="148" spans="1:11" ht="12.75" customHeight="1" x14ac:dyDescent="0.2">
      <c r="A148" s="249">
        <v>38184</v>
      </c>
      <c r="B148" s="250" t="s">
        <v>355</v>
      </c>
      <c r="C148" s="251" t="s">
        <v>356</v>
      </c>
      <c r="D148" s="251" t="s">
        <v>357</v>
      </c>
      <c r="E148" s="251"/>
      <c r="F148" s="252" t="s">
        <v>43</v>
      </c>
      <c r="G148" s="284" t="s">
        <v>58</v>
      </c>
      <c r="H148" s="285" t="s">
        <v>66</v>
      </c>
      <c r="I148" s="251" t="s">
        <v>343</v>
      </c>
      <c r="J148" s="251" t="s">
        <v>302</v>
      </c>
      <c r="K148" s="255" t="s">
        <v>303</v>
      </c>
    </row>
    <row r="149" spans="1:11" ht="12.75" customHeight="1" x14ac:dyDescent="0.2">
      <c r="A149" s="249">
        <v>38469</v>
      </c>
      <c r="B149" s="250" t="s">
        <v>361</v>
      </c>
      <c r="C149" s="251" t="s">
        <v>358</v>
      </c>
      <c r="D149" s="251" t="s">
        <v>362</v>
      </c>
      <c r="E149" s="251"/>
      <c r="F149" s="252" t="s">
        <v>43</v>
      </c>
      <c r="G149" s="284" t="s">
        <v>67</v>
      </c>
      <c r="H149" s="285" t="s">
        <v>45</v>
      </c>
      <c r="I149" s="251" t="s">
        <v>343</v>
      </c>
      <c r="J149" s="251" t="s">
        <v>302</v>
      </c>
      <c r="K149" s="255" t="s">
        <v>303</v>
      </c>
    </row>
    <row r="150" spans="1:11" ht="12.75" customHeight="1" x14ac:dyDescent="0.2">
      <c r="A150" s="249">
        <v>38443</v>
      </c>
      <c r="B150" s="250" t="s">
        <v>363</v>
      </c>
      <c r="C150" s="251" t="s">
        <v>358</v>
      </c>
      <c r="D150" s="251" t="s">
        <v>364</v>
      </c>
      <c r="E150" s="251"/>
      <c r="F150" s="252" t="s">
        <v>43</v>
      </c>
      <c r="G150" s="284" t="s">
        <v>94</v>
      </c>
      <c r="H150" s="285" t="s">
        <v>51</v>
      </c>
      <c r="I150" s="251" t="s">
        <v>343</v>
      </c>
      <c r="J150" s="251" t="s">
        <v>302</v>
      </c>
      <c r="K150" s="255" t="s">
        <v>303</v>
      </c>
    </row>
    <row r="151" spans="1:11" ht="12.75" customHeight="1" x14ac:dyDescent="0.2">
      <c r="A151" s="249">
        <v>7965</v>
      </c>
      <c r="B151" s="250" t="s">
        <v>365</v>
      </c>
      <c r="C151" s="251" t="s">
        <v>366</v>
      </c>
      <c r="D151" s="251" t="s">
        <v>367</v>
      </c>
      <c r="E151" s="251"/>
      <c r="F151" s="252" t="s">
        <v>43</v>
      </c>
      <c r="G151" s="284" t="s">
        <v>67</v>
      </c>
      <c r="H151" s="285" t="s">
        <v>180</v>
      </c>
      <c r="I151" s="251" t="s">
        <v>343</v>
      </c>
      <c r="J151" s="251" t="s">
        <v>302</v>
      </c>
      <c r="K151" s="255" t="s">
        <v>303</v>
      </c>
    </row>
    <row r="152" spans="1:11" ht="12.75" customHeight="1" x14ac:dyDescent="0.2">
      <c r="A152" s="249">
        <v>7438</v>
      </c>
      <c r="B152" s="250">
        <v>9099133</v>
      </c>
      <c r="C152" s="251" t="s">
        <v>368</v>
      </c>
      <c r="D152" s="251" t="s">
        <v>369</v>
      </c>
      <c r="E152" s="251"/>
      <c r="F152" s="252" t="s">
        <v>49</v>
      </c>
      <c r="G152" s="284" t="s">
        <v>79</v>
      </c>
      <c r="H152" s="285" t="s">
        <v>239</v>
      </c>
      <c r="I152" s="251" t="s">
        <v>343</v>
      </c>
      <c r="J152" s="251" t="s">
        <v>302</v>
      </c>
      <c r="K152" s="255" t="s">
        <v>303</v>
      </c>
    </row>
    <row r="153" spans="1:11" ht="12.75" customHeight="1" x14ac:dyDescent="0.2">
      <c r="A153" s="249">
        <v>7741</v>
      </c>
      <c r="B153" s="250" t="s">
        <v>236</v>
      </c>
      <c r="C153" s="251" t="s">
        <v>136</v>
      </c>
      <c r="D153" s="251" t="s">
        <v>143</v>
      </c>
      <c r="E153" s="251"/>
      <c r="F153" s="252" t="s">
        <v>43</v>
      </c>
      <c r="G153" s="284" t="s">
        <v>67</v>
      </c>
      <c r="H153" s="285" t="s">
        <v>45</v>
      </c>
      <c r="I153" s="251" t="s">
        <v>343</v>
      </c>
      <c r="J153" s="251" t="s">
        <v>302</v>
      </c>
      <c r="K153" s="255" t="s">
        <v>303</v>
      </c>
    </row>
    <row r="154" spans="1:11" s="278" customFormat="1" ht="12.75" customHeight="1" x14ac:dyDescent="0.25">
      <c r="A154" s="249">
        <v>38671</v>
      </c>
      <c r="B154" s="250" t="s">
        <v>428</v>
      </c>
      <c r="C154" s="257" t="s">
        <v>2437</v>
      </c>
      <c r="D154" s="257" t="s">
        <v>288</v>
      </c>
      <c r="E154" s="257" t="s">
        <v>2374</v>
      </c>
      <c r="F154" s="252" t="s">
        <v>43</v>
      </c>
      <c r="G154" s="284" t="s">
        <v>44</v>
      </c>
      <c r="H154" s="285"/>
      <c r="I154" s="257" t="s">
        <v>343</v>
      </c>
      <c r="J154" s="257" t="s">
        <v>302</v>
      </c>
      <c r="K154" s="255" t="s">
        <v>303</v>
      </c>
    </row>
    <row r="155" spans="1:11" ht="12.75" customHeight="1" x14ac:dyDescent="0.2">
      <c r="A155" s="249">
        <v>13166</v>
      </c>
      <c r="B155" s="250" t="s">
        <v>370</v>
      </c>
      <c r="C155" s="257" t="s">
        <v>371</v>
      </c>
      <c r="D155" s="257" t="s">
        <v>87</v>
      </c>
      <c r="E155" s="257" t="s">
        <v>2374</v>
      </c>
      <c r="F155" s="252" t="s">
        <v>43</v>
      </c>
      <c r="G155" s="284" t="s">
        <v>44</v>
      </c>
      <c r="H155" s="285" t="s">
        <v>45</v>
      </c>
      <c r="I155" s="257" t="s">
        <v>343</v>
      </c>
      <c r="J155" s="257" t="s">
        <v>302</v>
      </c>
      <c r="K155" s="255" t="s">
        <v>303</v>
      </c>
    </row>
    <row r="156" spans="1:11" ht="12.75" customHeight="1" x14ac:dyDescent="0.2">
      <c r="A156" s="249">
        <v>7958</v>
      </c>
      <c r="B156" s="250">
        <v>9111157</v>
      </c>
      <c r="C156" s="251" t="s">
        <v>372</v>
      </c>
      <c r="D156" s="251" t="s">
        <v>373</v>
      </c>
      <c r="E156" s="251"/>
      <c r="F156" s="252" t="s">
        <v>43</v>
      </c>
      <c r="G156" s="284" t="s">
        <v>58</v>
      </c>
      <c r="H156" s="285" t="s">
        <v>45</v>
      </c>
      <c r="I156" s="251" t="s">
        <v>343</v>
      </c>
      <c r="J156" s="251" t="s">
        <v>302</v>
      </c>
      <c r="K156" s="255" t="s">
        <v>303</v>
      </c>
    </row>
    <row r="157" spans="1:11" ht="12.75" customHeight="1" x14ac:dyDescent="0.2">
      <c r="A157" s="249">
        <v>7972</v>
      </c>
      <c r="B157" s="250" t="s">
        <v>2339</v>
      </c>
      <c r="C157" s="251" t="s">
        <v>372</v>
      </c>
      <c r="D157" s="251" t="s">
        <v>226</v>
      </c>
      <c r="E157" s="251"/>
      <c r="F157" s="252" t="s">
        <v>49</v>
      </c>
      <c r="G157" s="284" t="s">
        <v>50</v>
      </c>
      <c r="H157" s="285" t="s">
        <v>45</v>
      </c>
      <c r="I157" s="251" t="s">
        <v>343</v>
      </c>
      <c r="J157" s="251" t="s">
        <v>302</v>
      </c>
      <c r="K157" s="255" t="s">
        <v>303</v>
      </c>
    </row>
    <row r="158" spans="1:11" ht="12.75" customHeight="1" x14ac:dyDescent="0.2">
      <c r="A158" s="249">
        <v>36237</v>
      </c>
      <c r="B158" s="250" t="s">
        <v>374</v>
      </c>
      <c r="C158" s="251" t="s">
        <v>375</v>
      </c>
      <c r="D158" s="251" t="s">
        <v>376</v>
      </c>
      <c r="E158" s="251"/>
      <c r="F158" s="252" t="s">
        <v>43</v>
      </c>
      <c r="G158" s="284" t="s">
        <v>58</v>
      </c>
      <c r="H158" s="285" t="s">
        <v>51</v>
      </c>
      <c r="I158" s="251" t="s">
        <v>343</v>
      </c>
      <c r="J158" s="251" t="s">
        <v>302</v>
      </c>
      <c r="K158" s="255" t="s">
        <v>303</v>
      </c>
    </row>
    <row r="159" spans="1:11" ht="12.75" customHeight="1" x14ac:dyDescent="0.2">
      <c r="A159" s="249">
        <v>16263</v>
      </c>
      <c r="B159" s="250" t="s">
        <v>615</v>
      </c>
      <c r="C159" s="251" t="s">
        <v>616</v>
      </c>
      <c r="D159" s="251" t="s">
        <v>617</v>
      </c>
      <c r="E159" s="251"/>
      <c r="F159" s="252" t="s">
        <v>43</v>
      </c>
      <c r="G159" s="284" t="s">
        <v>52</v>
      </c>
      <c r="H159" s="285" t="s">
        <v>180</v>
      </c>
      <c r="I159" s="251" t="s">
        <v>343</v>
      </c>
      <c r="J159" s="251" t="s">
        <v>302</v>
      </c>
      <c r="K159" s="255" t="s">
        <v>303</v>
      </c>
    </row>
    <row r="160" spans="1:11" ht="12.75" customHeight="1" x14ac:dyDescent="0.2">
      <c r="A160" s="249">
        <v>7735</v>
      </c>
      <c r="B160" s="250" t="s">
        <v>242</v>
      </c>
      <c r="C160" s="251" t="s">
        <v>243</v>
      </c>
      <c r="D160" s="251" t="s">
        <v>244</v>
      </c>
      <c r="E160" s="251"/>
      <c r="F160" s="252" t="s">
        <v>43</v>
      </c>
      <c r="G160" s="284" t="s">
        <v>52</v>
      </c>
      <c r="H160" s="285" t="s">
        <v>239</v>
      </c>
      <c r="I160" s="251" t="s">
        <v>343</v>
      </c>
      <c r="J160" s="251" t="s">
        <v>302</v>
      </c>
      <c r="K160" s="255" t="s">
        <v>303</v>
      </c>
    </row>
    <row r="161" spans="1:17" ht="12.75" customHeight="1" x14ac:dyDescent="0.2">
      <c r="A161" s="249">
        <v>10124</v>
      </c>
      <c r="B161" s="250" t="s">
        <v>1687</v>
      </c>
      <c r="C161" s="251" t="s">
        <v>335</v>
      </c>
      <c r="D161" s="251" t="s">
        <v>107</v>
      </c>
      <c r="E161" s="251"/>
      <c r="F161" s="252" t="s">
        <v>43</v>
      </c>
      <c r="G161" s="284" t="s">
        <v>44</v>
      </c>
      <c r="H161" s="285" t="s">
        <v>239</v>
      </c>
      <c r="I161" s="257" t="s">
        <v>343</v>
      </c>
      <c r="J161" s="251" t="s">
        <v>302</v>
      </c>
      <c r="K161" s="255" t="s">
        <v>303</v>
      </c>
    </row>
    <row r="162" spans="1:17" ht="12.75" customHeight="1" x14ac:dyDescent="0.2">
      <c r="A162" s="249">
        <v>16475</v>
      </c>
      <c r="B162" s="250" t="s">
        <v>1966</v>
      </c>
      <c r="C162" s="257" t="s">
        <v>1967</v>
      </c>
      <c r="D162" s="257" t="s">
        <v>1968</v>
      </c>
      <c r="E162" s="257" t="s">
        <v>2374</v>
      </c>
      <c r="F162" s="252" t="s">
        <v>49</v>
      </c>
      <c r="G162" s="284" t="s">
        <v>50</v>
      </c>
      <c r="H162" s="285" t="s">
        <v>45</v>
      </c>
      <c r="I162" s="257" t="s">
        <v>343</v>
      </c>
      <c r="J162" s="257" t="s">
        <v>302</v>
      </c>
      <c r="K162" s="255" t="s">
        <v>303</v>
      </c>
    </row>
    <row r="163" spans="1:17" ht="12.75" customHeight="1" x14ac:dyDescent="0.2">
      <c r="A163" s="249">
        <v>7083</v>
      </c>
      <c r="B163" s="250" t="s">
        <v>382</v>
      </c>
      <c r="C163" s="251" t="s">
        <v>383</v>
      </c>
      <c r="D163" s="251" t="s">
        <v>384</v>
      </c>
      <c r="E163" s="251"/>
      <c r="F163" s="252" t="s">
        <v>49</v>
      </c>
      <c r="G163" s="284" t="s">
        <v>79</v>
      </c>
      <c r="H163" s="285" t="s">
        <v>239</v>
      </c>
      <c r="I163" s="251" t="s">
        <v>343</v>
      </c>
      <c r="J163" s="251" t="s">
        <v>302</v>
      </c>
      <c r="K163" s="255" t="s">
        <v>303</v>
      </c>
    </row>
    <row r="164" spans="1:17" ht="12.75" customHeight="1" x14ac:dyDescent="0.2">
      <c r="A164" s="249">
        <v>38616</v>
      </c>
      <c r="B164" s="250" t="s">
        <v>385</v>
      </c>
      <c r="C164" s="257" t="s">
        <v>386</v>
      </c>
      <c r="D164" s="257" t="s">
        <v>387</v>
      </c>
      <c r="E164" s="257" t="s">
        <v>2374</v>
      </c>
      <c r="F164" s="252" t="s">
        <v>43</v>
      </c>
      <c r="G164" s="284" t="s">
        <v>52</v>
      </c>
      <c r="H164" s="285" t="s">
        <v>66</v>
      </c>
      <c r="I164" s="257" t="s">
        <v>343</v>
      </c>
      <c r="J164" s="257" t="s">
        <v>302</v>
      </c>
      <c r="K164" s="255" t="s">
        <v>303</v>
      </c>
    </row>
    <row r="165" spans="1:17" ht="12.75" customHeight="1" x14ac:dyDescent="0.2">
      <c r="A165" s="249">
        <v>7976</v>
      </c>
      <c r="B165" s="250" t="s">
        <v>388</v>
      </c>
      <c r="C165" s="251" t="s">
        <v>386</v>
      </c>
      <c r="D165" s="251" t="s">
        <v>230</v>
      </c>
      <c r="E165" s="251"/>
      <c r="F165" s="252" t="s">
        <v>49</v>
      </c>
      <c r="G165" s="284" t="s">
        <v>50</v>
      </c>
      <c r="H165" s="285" t="s">
        <v>45</v>
      </c>
      <c r="I165" s="251" t="s">
        <v>343</v>
      </c>
      <c r="J165" s="251" t="s">
        <v>302</v>
      </c>
      <c r="K165" s="255" t="s">
        <v>303</v>
      </c>
    </row>
    <row r="166" spans="1:17" ht="12.75" customHeight="1" x14ac:dyDescent="0.2">
      <c r="A166" s="249">
        <v>38256</v>
      </c>
      <c r="B166" s="250" t="s">
        <v>389</v>
      </c>
      <c r="C166" s="251" t="s">
        <v>390</v>
      </c>
      <c r="D166" s="251" t="s">
        <v>391</v>
      </c>
      <c r="E166" s="251"/>
      <c r="F166" s="252" t="s">
        <v>49</v>
      </c>
      <c r="G166" s="284" t="s">
        <v>139</v>
      </c>
      <c r="H166" s="285" t="s">
        <v>51</v>
      </c>
      <c r="I166" s="251" t="s">
        <v>343</v>
      </c>
      <c r="J166" s="251" t="s">
        <v>302</v>
      </c>
      <c r="K166" s="255" t="s">
        <v>303</v>
      </c>
    </row>
    <row r="167" spans="1:17" ht="12.75" customHeight="1" x14ac:dyDescent="0.2">
      <c r="A167" s="249">
        <v>38255</v>
      </c>
      <c r="B167" s="250" t="s">
        <v>392</v>
      </c>
      <c r="C167" s="251" t="s">
        <v>390</v>
      </c>
      <c r="D167" s="251" t="s">
        <v>393</v>
      </c>
      <c r="E167" s="251"/>
      <c r="F167" s="252" t="s">
        <v>43</v>
      </c>
      <c r="G167" s="284" t="s">
        <v>44</v>
      </c>
      <c r="H167" s="285" t="s">
        <v>66</v>
      </c>
      <c r="I167" s="251" t="s">
        <v>343</v>
      </c>
      <c r="J167" s="251" t="s">
        <v>302</v>
      </c>
      <c r="K167" s="255" t="s">
        <v>303</v>
      </c>
    </row>
    <row r="168" spans="1:17" ht="12.75" customHeight="1" x14ac:dyDescent="0.2">
      <c r="A168" s="249">
        <v>7740</v>
      </c>
      <c r="B168" s="250" t="s">
        <v>394</v>
      </c>
      <c r="C168" s="251" t="s">
        <v>395</v>
      </c>
      <c r="D168" s="251" t="s">
        <v>98</v>
      </c>
      <c r="E168" s="251"/>
      <c r="F168" s="252" t="s">
        <v>43</v>
      </c>
      <c r="G168" s="284" t="s">
        <v>52</v>
      </c>
      <c r="H168" s="285" t="s">
        <v>45</v>
      </c>
      <c r="I168" s="251" t="s">
        <v>343</v>
      </c>
      <c r="J168" s="251" t="s">
        <v>302</v>
      </c>
      <c r="K168" s="255" t="s">
        <v>303</v>
      </c>
    </row>
    <row r="169" spans="1:17" ht="12.75" customHeight="1" x14ac:dyDescent="0.2">
      <c r="A169" s="249">
        <v>38376</v>
      </c>
      <c r="B169" s="250" t="s">
        <v>396</v>
      </c>
      <c r="C169" s="251" t="s">
        <v>397</v>
      </c>
      <c r="D169" s="251" t="s">
        <v>136</v>
      </c>
      <c r="E169" s="251"/>
      <c r="F169" s="252" t="s">
        <v>43</v>
      </c>
      <c r="G169" s="284" t="s">
        <v>52</v>
      </c>
      <c r="H169" s="285" t="s">
        <v>51</v>
      </c>
      <c r="I169" s="251" t="s">
        <v>343</v>
      </c>
      <c r="J169" s="251" t="s">
        <v>302</v>
      </c>
      <c r="K169" s="255" t="s">
        <v>303</v>
      </c>
    </row>
    <row r="170" spans="1:17" ht="12.75" customHeight="1" x14ac:dyDescent="0.2">
      <c r="A170" s="249">
        <v>38824</v>
      </c>
      <c r="B170" s="250" t="s">
        <v>2117</v>
      </c>
      <c r="C170" s="257" t="s">
        <v>2118</v>
      </c>
      <c r="D170" s="257" t="s">
        <v>125</v>
      </c>
      <c r="E170" s="257" t="s">
        <v>2374</v>
      </c>
      <c r="F170" s="252" t="s">
        <v>43</v>
      </c>
      <c r="G170" s="284" t="s">
        <v>44</v>
      </c>
      <c r="H170" s="285" t="s">
        <v>51</v>
      </c>
      <c r="I170" s="257" t="s">
        <v>343</v>
      </c>
      <c r="J170" s="257" t="s">
        <v>302</v>
      </c>
      <c r="K170" s="255" t="s">
        <v>303</v>
      </c>
    </row>
    <row r="171" spans="1:17" ht="12.75" customHeight="1" x14ac:dyDescent="0.2">
      <c r="A171" s="249">
        <v>38907</v>
      </c>
      <c r="B171" s="250" t="s">
        <v>2438</v>
      </c>
      <c r="C171" s="257" t="s">
        <v>2439</v>
      </c>
      <c r="D171" s="257" t="s">
        <v>143</v>
      </c>
      <c r="E171" s="257" t="s">
        <v>2374</v>
      </c>
      <c r="F171" s="252" t="s">
        <v>43</v>
      </c>
      <c r="G171" s="284" t="s">
        <v>44</v>
      </c>
      <c r="H171" s="285"/>
      <c r="I171" s="257" t="s">
        <v>343</v>
      </c>
      <c r="J171" s="257" t="s">
        <v>302</v>
      </c>
      <c r="K171" s="255" t="s">
        <v>303</v>
      </c>
      <c r="L171" s="281"/>
      <c r="M171" s="281"/>
      <c r="N171" s="281"/>
      <c r="Q171" s="283"/>
    </row>
    <row r="172" spans="1:17" ht="12.75" customHeight="1" x14ac:dyDescent="0.2">
      <c r="A172" s="249">
        <v>7959</v>
      </c>
      <c r="B172" s="250" t="s">
        <v>401</v>
      </c>
      <c r="C172" s="257" t="s">
        <v>402</v>
      </c>
      <c r="D172" s="257" t="s">
        <v>403</v>
      </c>
      <c r="E172" s="257" t="s">
        <v>2374</v>
      </c>
      <c r="F172" s="252" t="s">
        <v>43</v>
      </c>
      <c r="G172" s="284" t="s">
        <v>44</v>
      </c>
      <c r="H172" s="285" t="s">
        <v>66</v>
      </c>
      <c r="I172" s="257" t="s">
        <v>343</v>
      </c>
      <c r="J172" s="257" t="s">
        <v>302</v>
      </c>
      <c r="K172" s="255" t="s">
        <v>303</v>
      </c>
    </row>
    <row r="173" spans="1:17" ht="12.75" customHeight="1" x14ac:dyDescent="0.2">
      <c r="A173" s="249">
        <v>38377</v>
      </c>
      <c r="B173" s="250" t="s">
        <v>404</v>
      </c>
      <c r="C173" s="251" t="s">
        <v>405</v>
      </c>
      <c r="D173" s="251" t="s">
        <v>254</v>
      </c>
      <c r="E173" s="251"/>
      <c r="F173" s="252" t="s">
        <v>49</v>
      </c>
      <c r="G173" s="284" t="s">
        <v>139</v>
      </c>
      <c r="H173" s="285" t="s">
        <v>51</v>
      </c>
      <c r="I173" s="251" t="s">
        <v>343</v>
      </c>
      <c r="J173" s="251" t="s">
        <v>302</v>
      </c>
      <c r="K173" s="255" t="s">
        <v>303</v>
      </c>
    </row>
    <row r="174" spans="1:17" ht="12.75" customHeight="1" x14ac:dyDescent="0.2">
      <c r="A174" s="249">
        <v>25753</v>
      </c>
      <c r="B174" s="250" t="s">
        <v>406</v>
      </c>
      <c r="C174" s="257" t="s">
        <v>405</v>
      </c>
      <c r="D174" s="257" t="s">
        <v>195</v>
      </c>
      <c r="E174" s="257" t="s">
        <v>2374</v>
      </c>
      <c r="F174" s="252" t="s">
        <v>43</v>
      </c>
      <c r="G174" s="284" t="s">
        <v>44</v>
      </c>
      <c r="H174" s="285" t="s">
        <v>45</v>
      </c>
      <c r="I174" s="257" t="s">
        <v>343</v>
      </c>
      <c r="J174" s="257" t="s">
        <v>302</v>
      </c>
      <c r="K174" s="255" t="s">
        <v>303</v>
      </c>
    </row>
    <row r="175" spans="1:17" ht="12.75" customHeight="1" x14ac:dyDescent="0.2">
      <c r="A175" s="249">
        <v>16782</v>
      </c>
      <c r="B175" s="250" t="s">
        <v>407</v>
      </c>
      <c r="C175" s="251" t="s">
        <v>408</v>
      </c>
      <c r="D175" s="251" t="s">
        <v>381</v>
      </c>
      <c r="E175" s="251"/>
      <c r="F175" s="252" t="s">
        <v>43</v>
      </c>
      <c r="G175" s="284" t="s">
        <v>67</v>
      </c>
      <c r="H175" s="285" t="s">
        <v>66</v>
      </c>
      <c r="I175" s="251" t="s">
        <v>343</v>
      </c>
      <c r="J175" s="251" t="s">
        <v>302</v>
      </c>
      <c r="K175" s="255" t="s">
        <v>303</v>
      </c>
    </row>
    <row r="176" spans="1:17" ht="12.75" customHeight="1" x14ac:dyDescent="0.2">
      <c r="A176" s="249">
        <v>25982</v>
      </c>
      <c r="B176" s="250" t="s">
        <v>409</v>
      </c>
      <c r="C176" s="251" t="s">
        <v>410</v>
      </c>
      <c r="D176" s="251" t="s">
        <v>411</v>
      </c>
      <c r="E176" s="251"/>
      <c r="F176" s="252" t="s">
        <v>49</v>
      </c>
      <c r="G176" s="284" t="s">
        <v>79</v>
      </c>
      <c r="H176" s="285" t="s">
        <v>66</v>
      </c>
      <c r="I176" s="251" t="s">
        <v>343</v>
      </c>
      <c r="J176" s="251" t="s">
        <v>302</v>
      </c>
      <c r="K176" s="255" t="s">
        <v>303</v>
      </c>
    </row>
    <row r="177" spans="1:17" ht="12.75" customHeight="1" x14ac:dyDescent="0.2">
      <c r="A177" s="249">
        <v>36696</v>
      </c>
      <c r="B177" s="250" t="s">
        <v>2201</v>
      </c>
      <c r="C177" s="251" t="s">
        <v>2202</v>
      </c>
      <c r="D177" s="251" t="s">
        <v>2203</v>
      </c>
      <c r="E177" s="251"/>
      <c r="F177" s="252" t="s">
        <v>49</v>
      </c>
      <c r="G177" s="284" t="s">
        <v>79</v>
      </c>
      <c r="H177" s="285" t="s">
        <v>180</v>
      </c>
      <c r="I177" s="251" t="s">
        <v>343</v>
      </c>
      <c r="J177" s="251" t="s">
        <v>302</v>
      </c>
      <c r="K177" s="255" t="s">
        <v>303</v>
      </c>
    </row>
    <row r="178" spans="1:17" ht="12.75" customHeight="1" x14ac:dyDescent="0.2">
      <c r="A178" s="249">
        <v>7975</v>
      </c>
      <c r="B178" s="250" t="s">
        <v>412</v>
      </c>
      <c r="C178" s="251" t="s">
        <v>413</v>
      </c>
      <c r="D178" s="251" t="s">
        <v>318</v>
      </c>
      <c r="E178" s="251"/>
      <c r="F178" s="252" t="s">
        <v>49</v>
      </c>
      <c r="G178" s="284" t="s">
        <v>50</v>
      </c>
      <c r="H178" s="285" t="s">
        <v>66</v>
      </c>
      <c r="I178" s="251" t="s">
        <v>343</v>
      </c>
      <c r="J178" s="251" t="s">
        <v>302</v>
      </c>
      <c r="K178" s="255" t="s">
        <v>303</v>
      </c>
    </row>
    <row r="179" spans="1:17" ht="12.75" customHeight="1" x14ac:dyDescent="0.2">
      <c r="A179" s="249">
        <v>16641</v>
      </c>
      <c r="B179" s="250">
        <v>9111159</v>
      </c>
      <c r="C179" s="251" t="s">
        <v>414</v>
      </c>
      <c r="D179" s="251" t="s">
        <v>57</v>
      </c>
      <c r="E179" s="251"/>
      <c r="F179" s="252" t="s">
        <v>43</v>
      </c>
      <c r="G179" s="284" t="s">
        <v>58</v>
      </c>
      <c r="H179" s="285" t="s">
        <v>66</v>
      </c>
      <c r="I179" s="251" t="s">
        <v>343</v>
      </c>
      <c r="J179" s="251" t="s">
        <v>302</v>
      </c>
      <c r="K179" s="255" t="s">
        <v>303</v>
      </c>
      <c r="L179" s="281"/>
      <c r="M179" s="281"/>
      <c r="N179" s="281"/>
      <c r="Q179" s="283"/>
    </row>
    <row r="180" spans="1:17" ht="12.75" customHeight="1" x14ac:dyDescent="0.2">
      <c r="A180" s="249">
        <v>16454</v>
      </c>
      <c r="B180" s="250" t="s">
        <v>415</v>
      </c>
      <c r="C180" s="251" t="s">
        <v>416</v>
      </c>
      <c r="D180" s="251" t="s">
        <v>61</v>
      </c>
      <c r="E180" s="251"/>
      <c r="F180" s="252" t="s">
        <v>43</v>
      </c>
      <c r="G180" s="284" t="s">
        <v>44</v>
      </c>
      <c r="H180" s="285"/>
      <c r="I180" s="251" t="s">
        <v>343</v>
      </c>
      <c r="J180" s="251" t="s">
        <v>302</v>
      </c>
      <c r="K180" s="255" t="s">
        <v>303</v>
      </c>
    </row>
    <row r="181" spans="1:17" ht="12.75" customHeight="1" x14ac:dyDescent="0.2">
      <c r="A181" s="249">
        <v>7974</v>
      </c>
      <c r="B181" s="250" t="s">
        <v>417</v>
      </c>
      <c r="C181" s="251" t="s">
        <v>215</v>
      </c>
      <c r="D181" s="251" t="s">
        <v>418</v>
      </c>
      <c r="E181" s="251"/>
      <c r="F181" s="252" t="s">
        <v>49</v>
      </c>
      <c r="G181" s="284" t="s">
        <v>228</v>
      </c>
      <c r="H181" s="285" t="s">
        <v>45</v>
      </c>
      <c r="I181" s="251" t="s">
        <v>343</v>
      </c>
      <c r="J181" s="251" t="s">
        <v>302</v>
      </c>
      <c r="K181" s="255" t="s">
        <v>303</v>
      </c>
    </row>
    <row r="182" spans="1:17" ht="12.75" customHeight="1" x14ac:dyDescent="0.2">
      <c r="A182" s="249">
        <v>7961</v>
      </c>
      <c r="B182" s="250" t="s">
        <v>419</v>
      </c>
      <c r="C182" s="251" t="s">
        <v>215</v>
      </c>
      <c r="D182" s="251" t="s">
        <v>117</v>
      </c>
      <c r="E182" s="251"/>
      <c r="F182" s="252" t="s">
        <v>43</v>
      </c>
      <c r="G182" s="284" t="s">
        <v>52</v>
      </c>
      <c r="H182" s="285" t="s">
        <v>45</v>
      </c>
      <c r="I182" s="251" t="s">
        <v>343</v>
      </c>
      <c r="J182" s="251" t="s">
        <v>302</v>
      </c>
      <c r="K182" s="255" t="s">
        <v>303</v>
      </c>
    </row>
    <row r="183" spans="1:17" ht="12.75" customHeight="1" x14ac:dyDescent="0.2">
      <c r="A183" s="249">
        <v>26201</v>
      </c>
      <c r="B183" s="250" t="s">
        <v>423</v>
      </c>
      <c r="C183" s="257" t="s">
        <v>424</v>
      </c>
      <c r="D183" s="257" t="s">
        <v>425</v>
      </c>
      <c r="E183" s="257" t="s">
        <v>2374</v>
      </c>
      <c r="F183" s="252" t="s">
        <v>49</v>
      </c>
      <c r="G183" s="284" t="s">
        <v>79</v>
      </c>
      <c r="H183" s="285" t="s">
        <v>180</v>
      </c>
      <c r="I183" s="257" t="s">
        <v>343</v>
      </c>
      <c r="J183" s="257" t="s">
        <v>302</v>
      </c>
      <c r="K183" s="255" t="s">
        <v>303</v>
      </c>
    </row>
    <row r="184" spans="1:17" ht="12.75" customHeight="1" x14ac:dyDescent="0.2">
      <c r="A184" s="249">
        <v>7738</v>
      </c>
      <c r="B184" s="250" t="s">
        <v>426</v>
      </c>
      <c r="C184" s="251" t="s">
        <v>427</v>
      </c>
      <c r="D184" s="251" t="s">
        <v>117</v>
      </c>
      <c r="E184" s="251"/>
      <c r="F184" s="252" t="s">
        <v>43</v>
      </c>
      <c r="G184" s="284" t="s">
        <v>52</v>
      </c>
      <c r="H184" s="285" t="s">
        <v>180</v>
      </c>
      <c r="I184" s="251" t="s">
        <v>343</v>
      </c>
      <c r="J184" s="251" t="s">
        <v>302</v>
      </c>
      <c r="K184" s="255" t="s">
        <v>303</v>
      </c>
    </row>
    <row r="185" spans="1:17" ht="12.75" customHeight="1" x14ac:dyDescent="0.2">
      <c r="A185" s="249">
        <v>38513</v>
      </c>
      <c r="B185" s="250" t="s">
        <v>429</v>
      </c>
      <c r="C185" s="251" t="s">
        <v>430</v>
      </c>
      <c r="D185" s="251" t="s">
        <v>431</v>
      </c>
      <c r="E185" s="251"/>
      <c r="F185" s="252" t="s">
        <v>49</v>
      </c>
      <c r="G185" s="284" t="s">
        <v>79</v>
      </c>
      <c r="H185" s="285" t="s">
        <v>45</v>
      </c>
      <c r="I185" s="251" t="s">
        <v>343</v>
      </c>
      <c r="J185" s="251" t="s">
        <v>302</v>
      </c>
      <c r="K185" s="255" t="s">
        <v>303</v>
      </c>
    </row>
    <row r="186" spans="1:17" ht="12.75" customHeight="1" x14ac:dyDescent="0.2">
      <c r="A186" s="249">
        <v>25551</v>
      </c>
      <c r="B186" s="250" t="s">
        <v>432</v>
      </c>
      <c r="C186" s="251" t="s">
        <v>433</v>
      </c>
      <c r="D186" s="251" t="s">
        <v>384</v>
      </c>
      <c r="E186" s="251"/>
      <c r="F186" s="252" t="s">
        <v>49</v>
      </c>
      <c r="G186" s="284" t="s">
        <v>79</v>
      </c>
      <c r="H186" s="285" t="s">
        <v>66</v>
      </c>
      <c r="I186" s="257" t="s">
        <v>343</v>
      </c>
      <c r="J186" s="251" t="s">
        <v>302</v>
      </c>
      <c r="K186" s="255" t="s">
        <v>303</v>
      </c>
    </row>
    <row r="187" spans="1:17" ht="12.75" customHeight="1" x14ac:dyDescent="0.2">
      <c r="A187" s="249">
        <v>25465</v>
      </c>
      <c r="B187" s="250" t="s">
        <v>434</v>
      </c>
      <c r="C187" s="251" t="s">
        <v>433</v>
      </c>
      <c r="D187" s="251" t="s">
        <v>435</v>
      </c>
      <c r="E187" s="251"/>
      <c r="F187" s="252" t="s">
        <v>43</v>
      </c>
      <c r="G187" s="284" t="s">
        <v>44</v>
      </c>
      <c r="H187" s="285" t="s">
        <v>180</v>
      </c>
      <c r="I187" s="257" t="s">
        <v>343</v>
      </c>
      <c r="J187" s="251" t="s">
        <v>302</v>
      </c>
      <c r="K187" s="255" t="s">
        <v>303</v>
      </c>
    </row>
    <row r="188" spans="1:17" ht="12.75" customHeight="1" x14ac:dyDescent="0.2">
      <c r="A188" s="249">
        <v>25350</v>
      </c>
      <c r="B188" s="250" t="s">
        <v>251</v>
      </c>
      <c r="C188" s="257" t="s">
        <v>252</v>
      </c>
      <c r="D188" s="257" t="s">
        <v>253</v>
      </c>
      <c r="E188" s="257" t="s">
        <v>2374</v>
      </c>
      <c r="F188" s="252" t="s">
        <v>43</v>
      </c>
      <c r="G188" s="284" t="s">
        <v>67</v>
      </c>
      <c r="H188" s="285" t="s">
        <v>66</v>
      </c>
      <c r="I188" s="257" t="s">
        <v>343</v>
      </c>
      <c r="J188" s="257" t="s">
        <v>302</v>
      </c>
      <c r="K188" s="255" t="s">
        <v>303</v>
      </c>
    </row>
    <row r="189" spans="1:17" ht="12.75" customHeight="1" x14ac:dyDescent="0.2">
      <c r="A189" s="249">
        <v>38045</v>
      </c>
      <c r="B189" s="250" t="s">
        <v>334</v>
      </c>
      <c r="C189" s="251" t="s">
        <v>335</v>
      </c>
      <c r="D189" s="251" t="s">
        <v>336</v>
      </c>
      <c r="E189" s="251"/>
      <c r="F189" s="252" t="s">
        <v>49</v>
      </c>
      <c r="G189" s="284" t="s">
        <v>79</v>
      </c>
      <c r="H189" s="285" t="s">
        <v>239</v>
      </c>
      <c r="I189" s="251" t="s">
        <v>255</v>
      </c>
      <c r="J189" s="251" t="s">
        <v>302</v>
      </c>
      <c r="K189" s="255" t="s">
        <v>303</v>
      </c>
    </row>
    <row r="190" spans="1:17" ht="12.75" customHeight="1" x14ac:dyDescent="0.2">
      <c r="A190" s="249">
        <v>25329</v>
      </c>
      <c r="B190" s="250" t="s">
        <v>337</v>
      </c>
      <c r="C190" s="251" t="s">
        <v>338</v>
      </c>
      <c r="D190" s="251" t="s">
        <v>339</v>
      </c>
      <c r="E190" s="251"/>
      <c r="F190" s="252" t="s">
        <v>49</v>
      </c>
      <c r="G190" s="253" t="s">
        <v>79</v>
      </c>
      <c r="H190" s="254">
        <v>0</v>
      </c>
      <c r="I190" s="251" t="s">
        <v>255</v>
      </c>
      <c r="J190" s="251" t="s">
        <v>302</v>
      </c>
      <c r="K190" s="255" t="s">
        <v>303</v>
      </c>
    </row>
    <row r="191" spans="1:17" ht="12.75" customHeight="1" x14ac:dyDescent="0.2">
      <c r="A191" s="249">
        <v>7981</v>
      </c>
      <c r="B191" s="250" t="s">
        <v>436</v>
      </c>
      <c r="C191" s="251" t="s">
        <v>437</v>
      </c>
      <c r="D191" s="251" t="s">
        <v>438</v>
      </c>
      <c r="E191" s="251"/>
      <c r="F191" s="252" t="s">
        <v>49</v>
      </c>
      <c r="G191" s="284" t="s">
        <v>139</v>
      </c>
      <c r="H191" s="285"/>
      <c r="I191" s="251" t="s">
        <v>439</v>
      </c>
      <c r="J191" s="251" t="s">
        <v>440</v>
      </c>
      <c r="K191" s="255" t="s">
        <v>441</v>
      </c>
    </row>
    <row r="192" spans="1:17" ht="12.75" customHeight="1" x14ac:dyDescent="0.2">
      <c r="A192" s="249">
        <v>25408</v>
      </c>
      <c r="B192" s="250" t="s">
        <v>442</v>
      </c>
      <c r="C192" s="251" t="s">
        <v>443</v>
      </c>
      <c r="D192" s="251" t="s">
        <v>444</v>
      </c>
      <c r="E192" s="251"/>
      <c r="F192" s="252" t="s">
        <v>43</v>
      </c>
      <c r="G192" s="284" t="s">
        <v>44</v>
      </c>
      <c r="H192" s="285" t="s">
        <v>66</v>
      </c>
      <c r="I192" s="251" t="s">
        <v>439</v>
      </c>
      <c r="J192" s="251" t="s">
        <v>440</v>
      </c>
      <c r="K192" s="255" t="s">
        <v>441</v>
      </c>
    </row>
    <row r="193" spans="1:17" ht="12.75" customHeight="1" x14ac:dyDescent="0.2">
      <c r="A193" s="249">
        <v>38110</v>
      </c>
      <c r="B193" s="250" t="s">
        <v>445</v>
      </c>
      <c r="C193" s="251" t="s">
        <v>446</v>
      </c>
      <c r="D193" s="251" t="s">
        <v>179</v>
      </c>
      <c r="E193" s="251"/>
      <c r="F193" s="252" t="s">
        <v>43</v>
      </c>
      <c r="G193" s="284" t="s">
        <v>44</v>
      </c>
      <c r="H193" s="285" t="s">
        <v>180</v>
      </c>
      <c r="I193" s="251" t="s">
        <v>439</v>
      </c>
      <c r="J193" s="251" t="s">
        <v>440</v>
      </c>
      <c r="K193" s="255" t="s">
        <v>441</v>
      </c>
      <c r="L193" s="281"/>
      <c r="M193" s="281"/>
      <c r="N193" s="281"/>
      <c r="Q193" s="283"/>
    </row>
    <row r="194" spans="1:17" ht="12.75" customHeight="1" x14ac:dyDescent="0.2">
      <c r="A194" s="249">
        <v>25543</v>
      </c>
      <c r="B194" s="250" t="s">
        <v>447</v>
      </c>
      <c r="C194" s="251" t="s">
        <v>448</v>
      </c>
      <c r="D194" s="251" t="s">
        <v>449</v>
      </c>
      <c r="E194" s="251"/>
      <c r="F194" s="252" t="s">
        <v>43</v>
      </c>
      <c r="G194" s="284" t="s">
        <v>58</v>
      </c>
      <c r="H194" s="285" t="s">
        <v>45</v>
      </c>
      <c r="I194" s="251" t="s">
        <v>439</v>
      </c>
      <c r="J194" s="251" t="s">
        <v>440</v>
      </c>
      <c r="K194" s="255" t="s">
        <v>441</v>
      </c>
    </row>
    <row r="195" spans="1:17" ht="12.75" customHeight="1" x14ac:dyDescent="0.2">
      <c r="A195" s="249">
        <v>25542</v>
      </c>
      <c r="B195" s="250" t="s">
        <v>450</v>
      </c>
      <c r="C195" s="251" t="s">
        <v>451</v>
      </c>
      <c r="D195" s="251" t="s">
        <v>452</v>
      </c>
      <c r="E195" s="251"/>
      <c r="F195" s="252" t="s">
        <v>49</v>
      </c>
      <c r="G195" s="284" t="s">
        <v>50</v>
      </c>
      <c r="H195" s="285" t="s">
        <v>51</v>
      </c>
      <c r="I195" s="251" t="s">
        <v>439</v>
      </c>
      <c r="J195" s="251" t="s">
        <v>440</v>
      </c>
      <c r="K195" s="255" t="s">
        <v>441</v>
      </c>
    </row>
    <row r="196" spans="1:17" ht="12.75" customHeight="1" x14ac:dyDescent="0.2">
      <c r="A196" s="249">
        <v>24731</v>
      </c>
      <c r="B196" s="250" t="s">
        <v>454</v>
      </c>
      <c r="C196" s="251" t="s">
        <v>455</v>
      </c>
      <c r="D196" s="251" t="s">
        <v>82</v>
      </c>
      <c r="E196" s="251"/>
      <c r="F196" s="252" t="s">
        <v>43</v>
      </c>
      <c r="G196" s="284" t="s">
        <v>44</v>
      </c>
      <c r="H196" s="285" t="s">
        <v>45</v>
      </c>
      <c r="I196" s="251" t="s">
        <v>439</v>
      </c>
      <c r="J196" s="251" t="s">
        <v>440</v>
      </c>
      <c r="K196" s="255" t="s">
        <v>441</v>
      </c>
    </row>
    <row r="197" spans="1:17" ht="12.75" customHeight="1" x14ac:dyDescent="0.2">
      <c r="A197" s="249">
        <v>38827</v>
      </c>
      <c r="B197" s="250" t="s">
        <v>2119</v>
      </c>
      <c r="C197" s="251" t="s">
        <v>2120</v>
      </c>
      <c r="D197" s="251" t="s">
        <v>2121</v>
      </c>
      <c r="E197" s="251"/>
      <c r="F197" s="252" t="s">
        <v>43</v>
      </c>
      <c r="G197" s="284" t="s">
        <v>44</v>
      </c>
      <c r="H197" s="285" t="s">
        <v>66</v>
      </c>
      <c r="I197" s="251" t="s">
        <v>439</v>
      </c>
      <c r="J197" s="251" t="s">
        <v>440</v>
      </c>
      <c r="K197" s="255" t="s">
        <v>441</v>
      </c>
    </row>
    <row r="198" spans="1:17" ht="12.75" customHeight="1" x14ac:dyDescent="0.2">
      <c r="A198" s="249">
        <v>25138</v>
      </c>
      <c r="B198" s="250" t="s">
        <v>460</v>
      </c>
      <c r="C198" s="251" t="s">
        <v>327</v>
      </c>
      <c r="D198" s="251" t="s">
        <v>461</v>
      </c>
      <c r="E198" s="251"/>
      <c r="F198" s="252" t="s">
        <v>43</v>
      </c>
      <c r="G198" s="284" t="s">
        <v>52</v>
      </c>
      <c r="H198" s="285" t="s">
        <v>45</v>
      </c>
      <c r="I198" s="251" t="s">
        <v>439</v>
      </c>
      <c r="J198" s="251" t="s">
        <v>440</v>
      </c>
      <c r="K198" s="255" t="s">
        <v>441</v>
      </c>
    </row>
    <row r="199" spans="1:17" ht="12.75" customHeight="1" x14ac:dyDescent="0.2">
      <c r="A199" s="249">
        <v>16633</v>
      </c>
      <c r="B199" s="250" t="s">
        <v>462</v>
      </c>
      <c r="C199" s="251" t="s">
        <v>463</v>
      </c>
      <c r="D199" s="251" t="s">
        <v>305</v>
      </c>
      <c r="E199" s="251"/>
      <c r="F199" s="252" t="s">
        <v>43</v>
      </c>
      <c r="G199" s="284" t="s">
        <v>67</v>
      </c>
      <c r="H199" s="285"/>
      <c r="I199" s="251" t="s">
        <v>439</v>
      </c>
      <c r="J199" s="251" t="s">
        <v>440</v>
      </c>
      <c r="K199" s="255" t="s">
        <v>441</v>
      </c>
    </row>
    <row r="200" spans="1:17" ht="12.75" customHeight="1" x14ac:dyDescent="0.2">
      <c r="A200" s="249">
        <v>38665</v>
      </c>
      <c r="B200" s="250" t="s">
        <v>464</v>
      </c>
      <c r="C200" s="251" t="s">
        <v>140</v>
      </c>
      <c r="D200" s="251" t="s">
        <v>231</v>
      </c>
      <c r="E200" s="251"/>
      <c r="F200" s="252" t="s">
        <v>43</v>
      </c>
      <c r="G200" s="284" t="s">
        <v>44</v>
      </c>
      <c r="H200" s="285" t="s">
        <v>66</v>
      </c>
      <c r="I200" s="251" t="s">
        <v>439</v>
      </c>
      <c r="J200" s="251" t="s">
        <v>440</v>
      </c>
      <c r="K200" s="255" t="s">
        <v>441</v>
      </c>
    </row>
    <row r="201" spans="1:17" ht="12.75" customHeight="1" x14ac:dyDescent="0.2">
      <c r="A201" s="249">
        <v>38842</v>
      </c>
      <c r="B201" s="250" t="s">
        <v>2122</v>
      </c>
      <c r="C201" s="251" t="s">
        <v>2123</v>
      </c>
      <c r="D201" s="251" t="s">
        <v>346</v>
      </c>
      <c r="E201" s="251"/>
      <c r="F201" s="252" t="s">
        <v>43</v>
      </c>
      <c r="G201" s="284" t="s">
        <v>44</v>
      </c>
      <c r="H201" s="285" t="s">
        <v>66</v>
      </c>
      <c r="I201" s="251" t="s">
        <v>439</v>
      </c>
      <c r="J201" s="251" t="s">
        <v>440</v>
      </c>
      <c r="K201" s="255" t="s">
        <v>441</v>
      </c>
    </row>
    <row r="202" spans="1:17" ht="12.75" customHeight="1" x14ac:dyDescent="0.2">
      <c r="A202" s="249">
        <v>16064</v>
      </c>
      <c r="B202" s="250" t="s">
        <v>465</v>
      </c>
      <c r="C202" s="251" t="s">
        <v>466</v>
      </c>
      <c r="D202" s="251" t="s">
        <v>73</v>
      </c>
      <c r="E202" s="251"/>
      <c r="F202" s="252" t="s">
        <v>43</v>
      </c>
      <c r="G202" s="284" t="s">
        <v>52</v>
      </c>
      <c r="H202" s="285" t="s">
        <v>66</v>
      </c>
      <c r="I202" s="251" t="s">
        <v>439</v>
      </c>
      <c r="J202" s="251" t="s">
        <v>440</v>
      </c>
      <c r="K202" s="255" t="s">
        <v>441</v>
      </c>
    </row>
    <row r="203" spans="1:17" ht="12.75" customHeight="1" x14ac:dyDescent="0.2">
      <c r="A203" s="249">
        <v>16044</v>
      </c>
      <c r="B203" s="250" t="s">
        <v>467</v>
      </c>
      <c r="C203" s="251" t="s">
        <v>468</v>
      </c>
      <c r="D203" s="251" t="s">
        <v>87</v>
      </c>
      <c r="E203" s="251"/>
      <c r="F203" s="252" t="s">
        <v>43</v>
      </c>
      <c r="G203" s="253" t="s">
        <v>44</v>
      </c>
      <c r="H203" s="254">
        <v>0</v>
      </c>
      <c r="I203" s="251" t="s">
        <v>439</v>
      </c>
      <c r="J203" s="251" t="s">
        <v>440</v>
      </c>
      <c r="K203" s="255" t="s">
        <v>441</v>
      </c>
    </row>
    <row r="204" spans="1:17" ht="12.75" customHeight="1" x14ac:dyDescent="0.2">
      <c r="A204" s="249">
        <v>38829</v>
      </c>
      <c r="B204" s="250" t="s">
        <v>2124</v>
      </c>
      <c r="C204" s="251" t="s">
        <v>2125</v>
      </c>
      <c r="D204" s="251" t="s">
        <v>2126</v>
      </c>
      <c r="E204" s="251"/>
      <c r="F204" s="252" t="s">
        <v>43</v>
      </c>
      <c r="G204" s="284" t="s">
        <v>44</v>
      </c>
      <c r="H204" s="285"/>
      <c r="I204" s="251" t="s">
        <v>439</v>
      </c>
      <c r="J204" s="251" t="s">
        <v>440</v>
      </c>
      <c r="K204" s="255" t="s">
        <v>441</v>
      </c>
    </row>
    <row r="205" spans="1:17" ht="12.75" customHeight="1" x14ac:dyDescent="0.2">
      <c r="A205" s="249">
        <v>38696</v>
      </c>
      <c r="B205" s="250" t="s">
        <v>469</v>
      </c>
      <c r="C205" s="251" t="s">
        <v>470</v>
      </c>
      <c r="D205" s="251" t="s">
        <v>282</v>
      </c>
      <c r="E205" s="251"/>
      <c r="F205" s="252" t="s">
        <v>43</v>
      </c>
      <c r="G205" s="284" t="s">
        <v>44</v>
      </c>
      <c r="H205" s="285"/>
      <c r="I205" s="251" t="s">
        <v>439</v>
      </c>
      <c r="J205" s="251" t="s">
        <v>440</v>
      </c>
      <c r="K205" s="255" t="s">
        <v>441</v>
      </c>
    </row>
    <row r="206" spans="1:17" ht="12.75" customHeight="1" x14ac:dyDescent="0.2">
      <c r="A206" s="249">
        <v>7985</v>
      </c>
      <c r="B206" s="250" t="s">
        <v>471</v>
      </c>
      <c r="C206" s="251" t="s">
        <v>472</v>
      </c>
      <c r="D206" s="251" t="s">
        <v>473</v>
      </c>
      <c r="E206" s="251"/>
      <c r="F206" s="252" t="s">
        <v>49</v>
      </c>
      <c r="G206" s="284" t="s">
        <v>228</v>
      </c>
      <c r="H206" s="285"/>
      <c r="I206" s="251" t="s">
        <v>439</v>
      </c>
      <c r="J206" s="251" t="s">
        <v>440</v>
      </c>
      <c r="K206" s="255" t="s">
        <v>441</v>
      </c>
    </row>
    <row r="207" spans="1:17" ht="12.75" customHeight="1" x14ac:dyDescent="0.2">
      <c r="A207" s="249">
        <v>38703</v>
      </c>
      <c r="B207" s="250" t="s">
        <v>474</v>
      </c>
      <c r="C207" s="251" t="s">
        <v>475</v>
      </c>
      <c r="D207" s="251" t="s">
        <v>476</v>
      </c>
      <c r="E207" s="251"/>
      <c r="F207" s="252" t="s">
        <v>49</v>
      </c>
      <c r="G207" s="284" t="s">
        <v>79</v>
      </c>
      <c r="H207" s="285"/>
      <c r="I207" s="251" t="s">
        <v>439</v>
      </c>
      <c r="J207" s="251" t="s">
        <v>440</v>
      </c>
      <c r="K207" s="255" t="s">
        <v>441</v>
      </c>
    </row>
    <row r="208" spans="1:17" ht="12.75" customHeight="1" x14ac:dyDescent="0.2">
      <c r="A208" s="249">
        <v>38568</v>
      </c>
      <c r="B208" s="250" t="s">
        <v>478</v>
      </c>
      <c r="C208" s="251" t="s">
        <v>479</v>
      </c>
      <c r="D208" s="251" t="s">
        <v>99</v>
      </c>
      <c r="E208" s="251"/>
      <c r="F208" s="252" t="s">
        <v>43</v>
      </c>
      <c r="G208" s="284" t="s">
        <v>44</v>
      </c>
      <c r="H208" s="285" t="s">
        <v>66</v>
      </c>
      <c r="I208" s="251" t="s">
        <v>439</v>
      </c>
      <c r="J208" s="251" t="s">
        <v>440</v>
      </c>
      <c r="K208" s="255" t="s">
        <v>441</v>
      </c>
    </row>
    <row r="209" spans="1:17" ht="12.75" customHeight="1" x14ac:dyDescent="0.2">
      <c r="A209" s="249">
        <v>16069</v>
      </c>
      <c r="B209" s="250" t="s">
        <v>480</v>
      </c>
      <c r="C209" s="251" t="s">
        <v>479</v>
      </c>
      <c r="D209" s="251" t="s">
        <v>481</v>
      </c>
      <c r="E209" s="251"/>
      <c r="F209" s="252" t="s">
        <v>43</v>
      </c>
      <c r="G209" s="284" t="s">
        <v>52</v>
      </c>
      <c r="H209" s="285"/>
      <c r="I209" s="251" t="s">
        <v>439</v>
      </c>
      <c r="J209" s="251" t="s">
        <v>440</v>
      </c>
      <c r="K209" s="255" t="s">
        <v>441</v>
      </c>
    </row>
    <row r="210" spans="1:17" ht="12.75" customHeight="1" x14ac:dyDescent="0.2">
      <c r="A210" s="249">
        <v>38911</v>
      </c>
      <c r="B210" s="250" t="s">
        <v>2440</v>
      </c>
      <c r="C210" s="251" t="s">
        <v>2441</v>
      </c>
      <c r="D210" s="251" t="s">
        <v>152</v>
      </c>
      <c r="E210" s="251"/>
      <c r="F210" s="252" t="s">
        <v>49</v>
      </c>
      <c r="G210" s="253" t="s">
        <v>79</v>
      </c>
      <c r="H210" s="254">
        <v>0</v>
      </c>
      <c r="I210" s="251" t="s">
        <v>439</v>
      </c>
      <c r="J210" s="251" t="s">
        <v>440</v>
      </c>
      <c r="K210" s="255" t="s">
        <v>441</v>
      </c>
    </row>
    <row r="211" spans="1:17" ht="12.75" customHeight="1" x14ac:dyDescent="0.2">
      <c r="A211" s="249">
        <v>38707</v>
      </c>
      <c r="B211" s="250" t="s">
        <v>482</v>
      </c>
      <c r="C211" s="251" t="s">
        <v>483</v>
      </c>
      <c r="D211" s="251" t="s">
        <v>132</v>
      </c>
      <c r="E211" s="251"/>
      <c r="F211" s="252" t="s">
        <v>43</v>
      </c>
      <c r="G211" s="284" t="s">
        <v>44</v>
      </c>
      <c r="H211" s="285"/>
      <c r="I211" s="251" t="s">
        <v>439</v>
      </c>
      <c r="J211" s="251" t="s">
        <v>440</v>
      </c>
      <c r="K211" s="255" t="s">
        <v>441</v>
      </c>
    </row>
    <row r="212" spans="1:17" ht="12.75" customHeight="1" x14ac:dyDescent="0.2">
      <c r="A212" s="249">
        <v>38828</v>
      </c>
      <c r="B212" s="250" t="s">
        <v>2127</v>
      </c>
      <c r="C212" s="251" t="s">
        <v>2128</v>
      </c>
      <c r="D212" s="251" t="s">
        <v>195</v>
      </c>
      <c r="E212" s="251"/>
      <c r="F212" s="252" t="s">
        <v>43</v>
      </c>
      <c r="G212" s="284" t="s">
        <v>44</v>
      </c>
      <c r="H212" s="285"/>
      <c r="I212" s="251" t="s">
        <v>439</v>
      </c>
      <c r="J212" s="251" t="s">
        <v>440</v>
      </c>
      <c r="K212" s="255" t="s">
        <v>441</v>
      </c>
    </row>
    <row r="213" spans="1:17" ht="12.75" customHeight="1" x14ac:dyDescent="0.2">
      <c r="A213" s="249">
        <v>16051</v>
      </c>
      <c r="B213" s="250" t="s">
        <v>484</v>
      </c>
      <c r="C213" s="251" t="s">
        <v>485</v>
      </c>
      <c r="D213" s="251" t="s">
        <v>238</v>
      </c>
      <c r="E213" s="251"/>
      <c r="F213" s="252" t="s">
        <v>43</v>
      </c>
      <c r="G213" s="284" t="s">
        <v>44</v>
      </c>
      <c r="H213" s="285" t="s">
        <v>180</v>
      </c>
      <c r="I213" s="251" t="s">
        <v>486</v>
      </c>
      <c r="J213" s="251" t="s">
        <v>440</v>
      </c>
      <c r="K213" s="255" t="s">
        <v>441</v>
      </c>
    </row>
    <row r="214" spans="1:17" ht="12.75" customHeight="1" x14ac:dyDescent="0.2">
      <c r="A214" s="249">
        <v>16024</v>
      </c>
      <c r="B214" s="250" t="s">
        <v>487</v>
      </c>
      <c r="C214" s="251" t="s">
        <v>485</v>
      </c>
      <c r="D214" s="251" t="s">
        <v>488</v>
      </c>
      <c r="E214" s="251"/>
      <c r="F214" s="252" t="s">
        <v>43</v>
      </c>
      <c r="G214" s="284" t="s">
        <v>44</v>
      </c>
      <c r="H214" s="285" t="s">
        <v>180</v>
      </c>
      <c r="I214" s="251" t="s">
        <v>486</v>
      </c>
      <c r="J214" s="251" t="s">
        <v>440</v>
      </c>
      <c r="K214" s="255" t="s">
        <v>441</v>
      </c>
    </row>
    <row r="215" spans="1:17" ht="12.75" customHeight="1" x14ac:dyDescent="0.2">
      <c r="A215" s="249">
        <v>25229</v>
      </c>
      <c r="B215" s="250" t="s">
        <v>916</v>
      </c>
      <c r="C215" s="251" t="s">
        <v>917</v>
      </c>
      <c r="D215" s="251" t="s">
        <v>622</v>
      </c>
      <c r="E215" s="251"/>
      <c r="F215" s="252" t="s">
        <v>43</v>
      </c>
      <c r="G215" s="284" t="s">
        <v>44</v>
      </c>
      <c r="H215" s="285" t="s">
        <v>66</v>
      </c>
      <c r="I215" s="251" t="s">
        <v>486</v>
      </c>
      <c r="J215" s="251" t="s">
        <v>440</v>
      </c>
      <c r="K215" s="255" t="s">
        <v>441</v>
      </c>
      <c r="L215" s="281"/>
      <c r="M215" s="281"/>
      <c r="N215" s="281"/>
      <c r="Q215" s="283"/>
    </row>
    <row r="216" spans="1:17" ht="12.75" customHeight="1" x14ac:dyDescent="0.2">
      <c r="A216" s="249">
        <v>7587</v>
      </c>
      <c r="B216" s="250" t="s">
        <v>489</v>
      </c>
      <c r="C216" s="251" t="s">
        <v>490</v>
      </c>
      <c r="D216" s="251" t="s">
        <v>491</v>
      </c>
      <c r="E216" s="251"/>
      <c r="F216" s="252" t="s">
        <v>43</v>
      </c>
      <c r="G216" s="284" t="s">
        <v>44</v>
      </c>
      <c r="H216" s="285" t="s">
        <v>239</v>
      </c>
      <c r="I216" s="251" t="s">
        <v>486</v>
      </c>
      <c r="J216" s="251" t="s">
        <v>440</v>
      </c>
      <c r="K216" s="255" t="s">
        <v>441</v>
      </c>
    </row>
    <row r="217" spans="1:17" ht="12.75" customHeight="1" x14ac:dyDescent="0.2">
      <c r="A217" s="249">
        <v>7018</v>
      </c>
      <c r="B217" s="250" t="s">
        <v>492</v>
      </c>
      <c r="C217" s="251" t="s">
        <v>493</v>
      </c>
      <c r="D217" s="251" t="s">
        <v>494</v>
      </c>
      <c r="E217" s="251"/>
      <c r="F217" s="252" t="s">
        <v>43</v>
      </c>
      <c r="G217" s="284" t="s">
        <v>44</v>
      </c>
      <c r="H217" s="285"/>
      <c r="I217" s="251" t="s">
        <v>486</v>
      </c>
      <c r="J217" s="251" t="s">
        <v>440</v>
      </c>
      <c r="K217" s="255" t="s">
        <v>441</v>
      </c>
      <c r="L217" s="281"/>
      <c r="M217" s="281"/>
      <c r="N217" s="281"/>
      <c r="Q217" s="283"/>
    </row>
    <row r="218" spans="1:17" ht="12.75" customHeight="1" x14ac:dyDescent="0.2">
      <c r="A218" s="249">
        <v>16002</v>
      </c>
      <c r="B218" s="250" t="s">
        <v>495</v>
      </c>
      <c r="C218" s="251" t="s">
        <v>496</v>
      </c>
      <c r="D218" s="251" t="s">
        <v>497</v>
      </c>
      <c r="E218" s="251"/>
      <c r="F218" s="252" t="s">
        <v>43</v>
      </c>
      <c r="G218" s="284" t="s">
        <v>67</v>
      </c>
      <c r="H218" s="285" t="s">
        <v>45</v>
      </c>
      <c r="I218" s="251" t="s">
        <v>486</v>
      </c>
      <c r="J218" s="251" t="s">
        <v>440</v>
      </c>
      <c r="K218" s="255" t="s">
        <v>441</v>
      </c>
    </row>
    <row r="219" spans="1:17" ht="12.75" customHeight="1" x14ac:dyDescent="0.2">
      <c r="A219" s="249">
        <v>7590</v>
      </c>
      <c r="B219" s="250" t="s">
        <v>502</v>
      </c>
      <c r="C219" s="251" t="s">
        <v>503</v>
      </c>
      <c r="D219" s="251" t="s">
        <v>504</v>
      </c>
      <c r="E219" s="251"/>
      <c r="F219" s="252" t="s">
        <v>43</v>
      </c>
      <c r="G219" s="253" t="s">
        <v>52</v>
      </c>
      <c r="H219" s="254">
        <v>0</v>
      </c>
      <c r="I219" s="251" t="s">
        <v>255</v>
      </c>
      <c r="J219" s="251" t="s">
        <v>440</v>
      </c>
      <c r="K219" s="255" t="s">
        <v>441</v>
      </c>
      <c r="L219" s="281"/>
      <c r="M219" s="281"/>
      <c r="N219" s="281"/>
      <c r="Q219" s="283"/>
    </row>
    <row r="220" spans="1:17" ht="12.75" customHeight="1" x14ac:dyDescent="0.2">
      <c r="A220" s="249">
        <v>38701</v>
      </c>
      <c r="B220" s="250" t="s">
        <v>505</v>
      </c>
      <c r="C220" s="251" t="s">
        <v>506</v>
      </c>
      <c r="D220" s="251" t="s">
        <v>507</v>
      </c>
      <c r="E220" s="251"/>
      <c r="F220" s="252" t="s">
        <v>49</v>
      </c>
      <c r="G220" s="284" t="s">
        <v>79</v>
      </c>
      <c r="H220" s="285" t="s">
        <v>51</v>
      </c>
      <c r="I220" s="251" t="s">
        <v>508</v>
      </c>
      <c r="J220" s="251" t="s">
        <v>509</v>
      </c>
      <c r="K220" s="255" t="s">
        <v>510</v>
      </c>
      <c r="L220" s="281"/>
      <c r="M220" s="281"/>
      <c r="N220" s="281"/>
      <c r="Q220" s="283"/>
    </row>
    <row r="221" spans="1:17" ht="12.75" customHeight="1" x14ac:dyDescent="0.2">
      <c r="A221" s="249">
        <v>25784</v>
      </c>
      <c r="B221" s="250" t="s">
        <v>511</v>
      </c>
      <c r="C221" s="251" t="s">
        <v>512</v>
      </c>
      <c r="D221" s="251" t="s">
        <v>477</v>
      </c>
      <c r="E221" s="251"/>
      <c r="F221" s="252" t="s">
        <v>43</v>
      </c>
      <c r="G221" s="260" t="s">
        <v>67</v>
      </c>
      <c r="H221" s="261">
        <v>0</v>
      </c>
      <c r="I221" s="251" t="s">
        <v>508</v>
      </c>
      <c r="J221" s="251" t="s">
        <v>509</v>
      </c>
      <c r="K221" s="255" t="s">
        <v>510</v>
      </c>
      <c r="L221" s="281"/>
      <c r="M221" s="281"/>
      <c r="N221" s="281"/>
      <c r="Q221" s="283"/>
    </row>
    <row r="222" spans="1:17" ht="12.75" customHeight="1" x14ac:dyDescent="0.2">
      <c r="A222" s="249">
        <v>38359</v>
      </c>
      <c r="B222" s="250" t="s">
        <v>513</v>
      </c>
      <c r="C222" s="251" t="s">
        <v>514</v>
      </c>
      <c r="D222" s="251" t="s">
        <v>136</v>
      </c>
      <c r="E222" s="251"/>
      <c r="F222" s="252" t="s">
        <v>43</v>
      </c>
      <c r="G222" s="258" t="s">
        <v>52</v>
      </c>
      <c r="H222" s="259">
        <v>0</v>
      </c>
      <c r="I222" s="251" t="s">
        <v>508</v>
      </c>
      <c r="J222" s="251" t="s">
        <v>509</v>
      </c>
      <c r="K222" s="255" t="s">
        <v>510</v>
      </c>
      <c r="L222" s="281"/>
      <c r="M222" s="281"/>
      <c r="N222" s="281"/>
      <c r="Q222" s="283"/>
    </row>
    <row r="223" spans="1:17" ht="12.75" customHeight="1" x14ac:dyDescent="0.2">
      <c r="A223" s="249">
        <v>16341</v>
      </c>
      <c r="B223" s="250" t="s">
        <v>515</v>
      </c>
      <c r="C223" s="251" t="s">
        <v>516</v>
      </c>
      <c r="D223" s="251" t="s">
        <v>254</v>
      </c>
      <c r="E223" s="251"/>
      <c r="F223" s="252" t="s">
        <v>49</v>
      </c>
      <c r="G223" s="260" t="s">
        <v>139</v>
      </c>
      <c r="H223" s="261">
        <v>0</v>
      </c>
      <c r="I223" s="251" t="s">
        <v>508</v>
      </c>
      <c r="J223" s="251" t="s">
        <v>509</v>
      </c>
      <c r="K223" s="255" t="s">
        <v>510</v>
      </c>
      <c r="L223" s="281"/>
      <c r="M223" s="281"/>
      <c r="N223" s="281"/>
      <c r="Q223" s="283"/>
    </row>
    <row r="224" spans="1:17" ht="12.75" customHeight="1" x14ac:dyDescent="0.2">
      <c r="A224" s="249">
        <v>16338</v>
      </c>
      <c r="B224" s="250" t="s">
        <v>517</v>
      </c>
      <c r="C224" s="251" t="s">
        <v>518</v>
      </c>
      <c r="D224" s="251" t="s">
        <v>143</v>
      </c>
      <c r="E224" s="251"/>
      <c r="F224" s="252" t="s">
        <v>43</v>
      </c>
      <c r="G224" s="284" t="s">
        <v>67</v>
      </c>
      <c r="H224" s="285" t="s">
        <v>45</v>
      </c>
      <c r="I224" s="251" t="s">
        <v>508</v>
      </c>
      <c r="J224" s="251" t="s">
        <v>509</v>
      </c>
      <c r="K224" s="255" t="s">
        <v>510</v>
      </c>
      <c r="L224" s="281"/>
      <c r="M224" s="281"/>
      <c r="N224" s="281"/>
      <c r="Q224" s="283"/>
    </row>
    <row r="225" spans="1:17" ht="12.75" customHeight="1" x14ac:dyDescent="0.2">
      <c r="A225" s="249">
        <v>38472</v>
      </c>
      <c r="B225" s="250" t="s">
        <v>519</v>
      </c>
      <c r="C225" s="257" t="s">
        <v>520</v>
      </c>
      <c r="D225" s="257" t="s">
        <v>107</v>
      </c>
      <c r="E225" s="257" t="s">
        <v>2374</v>
      </c>
      <c r="F225" s="252" t="s">
        <v>43</v>
      </c>
      <c r="G225" s="284" t="s">
        <v>52</v>
      </c>
      <c r="H225" s="285" t="s">
        <v>45</v>
      </c>
      <c r="I225" s="257" t="s">
        <v>508</v>
      </c>
      <c r="J225" s="257" t="s">
        <v>509</v>
      </c>
      <c r="K225" s="255" t="s">
        <v>510</v>
      </c>
      <c r="L225" s="281"/>
      <c r="M225" s="281"/>
      <c r="N225" s="281"/>
      <c r="Q225" s="283"/>
    </row>
    <row r="226" spans="1:17" ht="12.75" customHeight="1" x14ac:dyDescent="0.2">
      <c r="A226" s="249">
        <v>16335</v>
      </c>
      <c r="B226" s="250" t="s">
        <v>521</v>
      </c>
      <c r="C226" s="251" t="s">
        <v>96</v>
      </c>
      <c r="D226" s="251" t="s">
        <v>522</v>
      </c>
      <c r="E226" s="251"/>
      <c r="F226" s="252" t="s">
        <v>43</v>
      </c>
      <c r="G226" s="260" t="s">
        <v>58</v>
      </c>
      <c r="H226" s="261">
        <v>0</v>
      </c>
      <c r="I226" s="251" t="s">
        <v>508</v>
      </c>
      <c r="J226" s="251" t="s">
        <v>509</v>
      </c>
      <c r="K226" s="255" t="s">
        <v>510</v>
      </c>
      <c r="L226" s="281"/>
      <c r="M226" s="281"/>
      <c r="N226" s="281"/>
      <c r="Q226" s="283"/>
    </row>
    <row r="227" spans="1:17" ht="12.75" customHeight="1" x14ac:dyDescent="0.2">
      <c r="A227" s="249">
        <v>16342</v>
      </c>
      <c r="B227" s="250" t="s">
        <v>523</v>
      </c>
      <c r="C227" s="251" t="s">
        <v>96</v>
      </c>
      <c r="D227" s="251" t="s">
        <v>524</v>
      </c>
      <c r="E227" s="251"/>
      <c r="F227" s="252" t="s">
        <v>49</v>
      </c>
      <c r="G227" s="253" t="s">
        <v>228</v>
      </c>
      <c r="H227" s="254">
        <v>0</v>
      </c>
      <c r="I227" s="251" t="s">
        <v>508</v>
      </c>
      <c r="J227" s="251" t="s">
        <v>509</v>
      </c>
      <c r="K227" s="255" t="s">
        <v>510</v>
      </c>
      <c r="L227" s="281"/>
      <c r="M227" s="281"/>
      <c r="N227" s="281"/>
      <c r="Q227" s="283"/>
    </row>
    <row r="228" spans="1:17" ht="12.75" customHeight="1" x14ac:dyDescent="0.2">
      <c r="A228" s="249">
        <v>38892</v>
      </c>
      <c r="B228" s="250" t="s">
        <v>2388</v>
      </c>
      <c r="C228" s="251" t="s">
        <v>2389</v>
      </c>
      <c r="D228" s="251" t="s">
        <v>667</v>
      </c>
      <c r="E228" s="251"/>
      <c r="F228" s="252" t="s">
        <v>43</v>
      </c>
      <c r="G228" s="284" t="s">
        <v>94</v>
      </c>
      <c r="H228" s="285" t="s">
        <v>51</v>
      </c>
      <c r="I228" s="251" t="s">
        <v>508</v>
      </c>
      <c r="J228" s="251" t="s">
        <v>509</v>
      </c>
      <c r="K228" s="255" t="s">
        <v>510</v>
      </c>
      <c r="L228" s="281"/>
      <c r="M228" s="281"/>
      <c r="N228" s="281"/>
      <c r="Q228" s="283"/>
    </row>
    <row r="229" spans="1:17" ht="12.75" customHeight="1" x14ac:dyDescent="0.2">
      <c r="A229" s="249">
        <v>16324</v>
      </c>
      <c r="B229" s="250" t="s">
        <v>525</v>
      </c>
      <c r="C229" s="251" t="s">
        <v>526</v>
      </c>
      <c r="D229" s="251" t="s">
        <v>527</v>
      </c>
      <c r="E229" s="251"/>
      <c r="F229" s="252" t="s">
        <v>43</v>
      </c>
      <c r="G229" s="284" t="s">
        <v>52</v>
      </c>
      <c r="H229" s="285" t="s">
        <v>66</v>
      </c>
      <c r="I229" s="251" t="s">
        <v>508</v>
      </c>
      <c r="J229" s="251" t="s">
        <v>509</v>
      </c>
      <c r="K229" s="255" t="s">
        <v>510</v>
      </c>
    </row>
    <row r="230" spans="1:17" ht="12.75" customHeight="1" x14ac:dyDescent="0.2">
      <c r="A230" s="249">
        <v>7372</v>
      </c>
      <c r="B230" s="250" t="s">
        <v>530</v>
      </c>
      <c r="C230" s="251" t="s">
        <v>528</v>
      </c>
      <c r="D230" s="251" t="s">
        <v>531</v>
      </c>
      <c r="E230" s="251"/>
      <c r="F230" s="252" t="s">
        <v>49</v>
      </c>
      <c r="G230" s="284" t="s">
        <v>79</v>
      </c>
      <c r="H230" s="285" t="s">
        <v>180</v>
      </c>
      <c r="I230" s="251" t="s">
        <v>508</v>
      </c>
      <c r="J230" s="251" t="s">
        <v>509</v>
      </c>
      <c r="K230" s="255" t="s">
        <v>510</v>
      </c>
      <c r="L230" s="281"/>
      <c r="M230" s="281"/>
      <c r="N230" s="281"/>
      <c r="Q230" s="283"/>
    </row>
    <row r="231" spans="1:17" ht="12.75" customHeight="1" x14ac:dyDescent="0.2">
      <c r="A231" s="249">
        <v>25178</v>
      </c>
      <c r="B231" s="250" t="s">
        <v>532</v>
      </c>
      <c r="C231" s="251" t="s">
        <v>533</v>
      </c>
      <c r="D231" s="251" t="s">
        <v>534</v>
      </c>
      <c r="E231" s="251"/>
      <c r="F231" s="252" t="s">
        <v>49</v>
      </c>
      <c r="G231" s="284" t="s">
        <v>79</v>
      </c>
      <c r="H231" s="285"/>
      <c r="I231" s="251" t="s">
        <v>508</v>
      </c>
      <c r="J231" s="251" t="s">
        <v>509</v>
      </c>
      <c r="K231" s="255" t="s">
        <v>510</v>
      </c>
      <c r="L231" s="281"/>
      <c r="M231" s="281"/>
      <c r="N231" s="281"/>
      <c r="Q231" s="283"/>
    </row>
    <row r="232" spans="1:17" ht="12.75" customHeight="1" x14ac:dyDescent="0.2">
      <c r="A232" s="249">
        <v>25351</v>
      </c>
      <c r="B232" s="250" t="s">
        <v>538</v>
      </c>
      <c r="C232" s="251" t="s">
        <v>539</v>
      </c>
      <c r="D232" s="251" t="s">
        <v>70</v>
      </c>
      <c r="E232" s="251"/>
      <c r="F232" s="252" t="s">
        <v>43</v>
      </c>
      <c r="G232" s="284" t="s">
        <v>52</v>
      </c>
      <c r="H232" s="285" t="s">
        <v>45</v>
      </c>
      <c r="I232" s="251" t="s">
        <v>508</v>
      </c>
      <c r="J232" s="251" t="s">
        <v>509</v>
      </c>
      <c r="K232" s="255" t="s">
        <v>510</v>
      </c>
      <c r="L232" s="281"/>
      <c r="M232" s="281"/>
      <c r="N232" s="281"/>
      <c r="Q232" s="283"/>
    </row>
    <row r="233" spans="1:17" ht="12.75" customHeight="1" x14ac:dyDescent="0.2">
      <c r="A233" s="249">
        <v>16805</v>
      </c>
      <c r="B233" s="250" t="s">
        <v>541</v>
      </c>
      <c r="C233" s="251" t="s">
        <v>542</v>
      </c>
      <c r="D233" s="251" t="s">
        <v>531</v>
      </c>
      <c r="E233" s="251"/>
      <c r="F233" s="252" t="s">
        <v>49</v>
      </c>
      <c r="G233" s="284" t="s">
        <v>79</v>
      </c>
      <c r="H233" s="285" t="s">
        <v>66</v>
      </c>
      <c r="I233" s="251" t="s">
        <v>508</v>
      </c>
      <c r="J233" s="251" t="s">
        <v>509</v>
      </c>
      <c r="K233" s="255" t="s">
        <v>510</v>
      </c>
      <c r="L233" s="281"/>
      <c r="M233" s="281"/>
      <c r="N233" s="281"/>
      <c r="Q233" s="283"/>
    </row>
    <row r="234" spans="1:17" ht="12.75" customHeight="1" x14ac:dyDescent="0.2">
      <c r="A234" s="249">
        <v>38416</v>
      </c>
      <c r="B234" s="250" t="s">
        <v>543</v>
      </c>
      <c r="C234" s="257" t="s">
        <v>544</v>
      </c>
      <c r="D234" s="257" t="s">
        <v>545</v>
      </c>
      <c r="E234" s="257" t="s">
        <v>2374</v>
      </c>
      <c r="F234" s="252" t="s">
        <v>49</v>
      </c>
      <c r="G234" s="284" t="s">
        <v>139</v>
      </c>
      <c r="H234" s="285" t="s">
        <v>51</v>
      </c>
      <c r="I234" s="257" t="s">
        <v>508</v>
      </c>
      <c r="J234" s="257" t="s">
        <v>509</v>
      </c>
      <c r="K234" s="255" t="s">
        <v>510</v>
      </c>
      <c r="L234" s="281"/>
      <c r="M234" s="281"/>
      <c r="N234" s="281"/>
      <c r="Q234" s="283"/>
    </row>
    <row r="235" spans="1:17" ht="12.75" customHeight="1" x14ac:dyDescent="0.2">
      <c r="A235" s="249">
        <v>38702</v>
      </c>
      <c r="B235" s="250" t="s">
        <v>546</v>
      </c>
      <c r="C235" s="251" t="s">
        <v>547</v>
      </c>
      <c r="D235" s="251" t="s">
        <v>107</v>
      </c>
      <c r="E235" s="251"/>
      <c r="F235" s="252" t="s">
        <v>43</v>
      </c>
      <c r="G235" s="284" t="s">
        <v>44</v>
      </c>
      <c r="H235" s="285" t="s">
        <v>45</v>
      </c>
      <c r="I235" s="251" t="s">
        <v>508</v>
      </c>
      <c r="J235" s="251" t="s">
        <v>509</v>
      </c>
      <c r="K235" s="255" t="s">
        <v>510</v>
      </c>
      <c r="L235" s="281"/>
      <c r="M235" s="281"/>
      <c r="N235" s="281"/>
      <c r="Q235" s="283"/>
    </row>
    <row r="236" spans="1:17" ht="12.75" customHeight="1" x14ac:dyDescent="0.2">
      <c r="A236" s="249">
        <v>38908</v>
      </c>
      <c r="B236" s="250" t="s">
        <v>2442</v>
      </c>
      <c r="C236" s="251" t="s">
        <v>2187</v>
      </c>
      <c r="D236" s="251" t="s">
        <v>125</v>
      </c>
      <c r="E236" s="251"/>
      <c r="F236" s="252" t="s">
        <v>43</v>
      </c>
      <c r="G236" s="284" t="s">
        <v>94</v>
      </c>
      <c r="H236" s="285"/>
      <c r="I236" s="251" t="s">
        <v>508</v>
      </c>
      <c r="J236" s="251" t="s">
        <v>509</v>
      </c>
      <c r="K236" s="255" t="s">
        <v>510</v>
      </c>
      <c r="L236" s="281"/>
      <c r="M236" s="281"/>
      <c r="N236" s="281"/>
      <c r="Q236" s="283"/>
    </row>
    <row r="237" spans="1:17" ht="12.75" customHeight="1" x14ac:dyDescent="0.2">
      <c r="A237" s="249">
        <v>13606</v>
      </c>
      <c r="B237" s="250" t="s">
        <v>551</v>
      </c>
      <c r="C237" s="251" t="s">
        <v>552</v>
      </c>
      <c r="D237" s="251" t="s">
        <v>318</v>
      </c>
      <c r="E237" s="251"/>
      <c r="F237" s="252" t="s">
        <v>49</v>
      </c>
      <c r="G237" s="284" t="s">
        <v>50</v>
      </c>
      <c r="H237" s="285"/>
      <c r="I237" s="251" t="s">
        <v>508</v>
      </c>
      <c r="J237" s="251" t="s">
        <v>509</v>
      </c>
      <c r="K237" s="255" t="s">
        <v>510</v>
      </c>
    </row>
    <row r="238" spans="1:17" ht="12.75" customHeight="1" x14ac:dyDescent="0.2">
      <c r="A238" s="249">
        <v>16327</v>
      </c>
      <c r="B238" s="250" t="s">
        <v>553</v>
      </c>
      <c r="C238" s="251" t="s">
        <v>143</v>
      </c>
      <c r="D238" s="251" t="s">
        <v>176</v>
      </c>
      <c r="E238" s="251"/>
      <c r="F238" s="252" t="s">
        <v>43</v>
      </c>
      <c r="G238" s="284" t="s">
        <v>52</v>
      </c>
      <c r="H238" s="285" t="s">
        <v>45</v>
      </c>
      <c r="I238" s="251" t="s">
        <v>508</v>
      </c>
      <c r="J238" s="251" t="s">
        <v>509</v>
      </c>
      <c r="K238" s="255" t="s">
        <v>510</v>
      </c>
    </row>
    <row r="239" spans="1:17" ht="12.75" customHeight="1" x14ac:dyDescent="0.2">
      <c r="A239" s="249">
        <v>16714</v>
      </c>
      <c r="B239" s="250" t="s">
        <v>1203</v>
      </c>
      <c r="C239" s="251" t="s">
        <v>987</v>
      </c>
      <c r="D239" s="251" t="s">
        <v>1204</v>
      </c>
      <c r="E239" s="251"/>
      <c r="F239" s="252" t="s">
        <v>43</v>
      </c>
      <c r="G239" s="253" t="s">
        <v>58</v>
      </c>
      <c r="H239" s="254">
        <v>0</v>
      </c>
      <c r="I239" s="251" t="s">
        <v>508</v>
      </c>
      <c r="J239" s="251" t="s">
        <v>509</v>
      </c>
      <c r="K239" s="255" t="s">
        <v>510</v>
      </c>
      <c r="L239" s="281"/>
      <c r="M239" s="281"/>
      <c r="N239" s="281"/>
      <c r="Q239" s="283"/>
    </row>
    <row r="240" spans="1:17" ht="12.75" customHeight="1" x14ac:dyDescent="0.2">
      <c r="A240" s="249">
        <v>7330</v>
      </c>
      <c r="B240" s="250" t="s">
        <v>554</v>
      </c>
      <c r="C240" s="251" t="s">
        <v>555</v>
      </c>
      <c r="D240" s="251" t="s">
        <v>556</v>
      </c>
      <c r="E240" s="251"/>
      <c r="F240" s="252" t="s">
        <v>43</v>
      </c>
      <c r="G240" s="258" t="s">
        <v>58</v>
      </c>
      <c r="H240" s="259">
        <v>0</v>
      </c>
      <c r="I240" s="251" t="s">
        <v>508</v>
      </c>
      <c r="J240" s="251" t="s">
        <v>509</v>
      </c>
      <c r="K240" s="255" t="s">
        <v>510</v>
      </c>
      <c r="L240" s="281"/>
      <c r="M240" s="281"/>
      <c r="N240" s="281"/>
      <c r="Q240" s="283"/>
    </row>
    <row r="241" spans="1:11" ht="12.75" customHeight="1" x14ac:dyDescent="0.2">
      <c r="A241" s="249">
        <v>16333</v>
      </c>
      <c r="B241" s="250" t="s">
        <v>557</v>
      </c>
      <c r="C241" s="251" t="s">
        <v>558</v>
      </c>
      <c r="D241" s="251" t="s">
        <v>99</v>
      </c>
      <c r="E241" s="251"/>
      <c r="F241" s="252" t="s">
        <v>43</v>
      </c>
      <c r="G241" s="284" t="s">
        <v>67</v>
      </c>
      <c r="H241" s="285"/>
      <c r="I241" s="251" t="s">
        <v>508</v>
      </c>
      <c r="J241" s="251" t="s">
        <v>509</v>
      </c>
      <c r="K241" s="255" t="s">
        <v>510</v>
      </c>
    </row>
    <row r="242" spans="1:11" ht="12.75" customHeight="1" x14ac:dyDescent="0.2">
      <c r="A242" s="249">
        <v>16085</v>
      </c>
      <c r="B242" s="250" t="s">
        <v>563</v>
      </c>
      <c r="C242" s="251" t="s">
        <v>564</v>
      </c>
      <c r="D242" s="251" t="s">
        <v>206</v>
      </c>
      <c r="E242" s="251"/>
      <c r="F242" s="252" t="s">
        <v>43</v>
      </c>
      <c r="G242" s="284" t="s">
        <v>67</v>
      </c>
      <c r="H242" s="285" t="s">
        <v>45</v>
      </c>
      <c r="I242" s="251" t="s">
        <v>561</v>
      </c>
      <c r="J242" s="251" t="s">
        <v>562</v>
      </c>
      <c r="K242" s="255" t="s">
        <v>24</v>
      </c>
    </row>
    <row r="243" spans="1:11" ht="12.75" customHeight="1" x14ac:dyDescent="0.2">
      <c r="A243" s="249">
        <v>38240</v>
      </c>
      <c r="B243" s="250" t="s">
        <v>565</v>
      </c>
      <c r="C243" s="251" t="s">
        <v>566</v>
      </c>
      <c r="D243" s="251" t="s">
        <v>403</v>
      </c>
      <c r="E243" s="251"/>
      <c r="F243" s="252" t="s">
        <v>43</v>
      </c>
      <c r="G243" s="284" t="s">
        <v>44</v>
      </c>
      <c r="H243" s="285" t="s">
        <v>45</v>
      </c>
      <c r="I243" s="251" t="s">
        <v>561</v>
      </c>
      <c r="J243" s="251" t="s">
        <v>562</v>
      </c>
      <c r="K243" s="255" t="s">
        <v>24</v>
      </c>
    </row>
    <row r="244" spans="1:11" ht="12.75" customHeight="1" x14ac:dyDescent="0.2">
      <c r="A244" s="249">
        <v>10662</v>
      </c>
      <c r="B244" s="250" t="s">
        <v>2443</v>
      </c>
      <c r="C244" s="251" t="s">
        <v>2444</v>
      </c>
      <c r="D244" s="251" t="s">
        <v>93</v>
      </c>
      <c r="E244" s="251"/>
      <c r="F244" s="252" t="s">
        <v>43</v>
      </c>
      <c r="G244" s="253" t="s">
        <v>44</v>
      </c>
      <c r="H244" s="254">
        <v>0</v>
      </c>
      <c r="I244" s="251" t="s">
        <v>561</v>
      </c>
      <c r="J244" s="251" t="s">
        <v>562</v>
      </c>
      <c r="K244" s="255" t="s">
        <v>24</v>
      </c>
    </row>
    <row r="245" spans="1:11" ht="12.75" customHeight="1" x14ac:dyDescent="0.2">
      <c r="A245" s="249">
        <v>16224</v>
      </c>
      <c r="B245" s="250" t="s">
        <v>567</v>
      </c>
      <c r="C245" s="257" t="s">
        <v>568</v>
      </c>
      <c r="D245" s="257" t="s">
        <v>569</v>
      </c>
      <c r="E245" s="257" t="s">
        <v>2374</v>
      </c>
      <c r="F245" s="252" t="s">
        <v>43</v>
      </c>
      <c r="G245" s="284" t="s">
        <v>58</v>
      </c>
      <c r="H245" s="285" t="s">
        <v>45</v>
      </c>
      <c r="I245" s="257" t="s">
        <v>561</v>
      </c>
      <c r="J245" s="257" t="s">
        <v>562</v>
      </c>
      <c r="K245" s="255" t="s">
        <v>24</v>
      </c>
    </row>
    <row r="246" spans="1:11" ht="12.75" customHeight="1" x14ac:dyDescent="0.2">
      <c r="A246" s="249">
        <v>16120</v>
      </c>
      <c r="B246" s="250" t="s">
        <v>571</v>
      </c>
      <c r="C246" s="251" t="s">
        <v>572</v>
      </c>
      <c r="D246" s="251" t="s">
        <v>226</v>
      </c>
      <c r="E246" s="251"/>
      <c r="F246" s="252" t="s">
        <v>49</v>
      </c>
      <c r="G246" s="284" t="s">
        <v>50</v>
      </c>
      <c r="H246" s="285" t="s">
        <v>66</v>
      </c>
      <c r="I246" s="251" t="s">
        <v>561</v>
      </c>
      <c r="J246" s="251" t="s">
        <v>562</v>
      </c>
      <c r="K246" s="255" t="s">
        <v>24</v>
      </c>
    </row>
    <row r="247" spans="1:11" ht="12.75" customHeight="1" x14ac:dyDescent="0.2">
      <c r="A247" s="249">
        <v>25911</v>
      </c>
      <c r="B247" s="250" t="s">
        <v>2445</v>
      </c>
      <c r="C247" s="251" t="s">
        <v>573</v>
      </c>
      <c r="D247" s="251" t="s">
        <v>117</v>
      </c>
      <c r="E247" s="251"/>
      <c r="F247" s="252" t="s">
        <v>43</v>
      </c>
      <c r="G247" s="284" t="s">
        <v>52</v>
      </c>
      <c r="H247" s="285" t="s">
        <v>104</v>
      </c>
      <c r="I247" s="251" t="s">
        <v>561</v>
      </c>
      <c r="J247" s="251" t="s">
        <v>562</v>
      </c>
      <c r="K247" s="255" t="s">
        <v>24</v>
      </c>
    </row>
    <row r="248" spans="1:11" ht="12.75" customHeight="1" x14ac:dyDescent="0.2">
      <c r="A248" s="249">
        <v>38287</v>
      </c>
      <c r="B248" s="250" t="s">
        <v>574</v>
      </c>
      <c r="C248" s="251" t="s">
        <v>575</v>
      </c>
      <c r="D248" s="251" t="s">
        <v>61</v>
      </c>
      <c r="E248" s="251"/>
      <c r="F248" s="252" t="s">
        <v>43</v>
      </c>
      <c r="G248" s="284" t="s">
        <v>67</v>
      </c>
      <c r="H248" s="285" t="s">
        <v>45</v>
      </c>
      <c r="I248" s="251" t="s">
        <v>561</v>
      </c>
      <c r="J248" s="251" t="s">
        <v>562</v>
      </c>
      <c r="K248" s="255" t="s">
        <v>24</v>
      </c>
    </row>
    <row r="249" spans="1:11" ht="12.75" customHeight="1" x14ac:dyDescent="0.2">
      <c r="A249" s="249">
        <v>16121</v>
      </c>
      <c r="B249" s="250" t="s">
        <v>576</v>
      </c>
      <c r="C249" s="251" t="s">
        <v>577</v>
      </c>
      <c r="D249" s="251" t="s">
        <v>578</v>
      </c>
      <c r="E249" s="251"/>
      <c r="F249" s="252" t="s">
        <v>49</v>
      </c>
      <c r="G249" s="284" t="s">
        <v>50</v>
      </c>
      <c r="H249" s="285"/>
      <c r="I249" s="251" t="s">
        <v>561</v>
      </c>
      <c r="J249" s="251" t="s">
        <v>562</v>
      </c>
      <c r="K249" s="255" t="s">
        <v>24</v>
      </c>
    </row>
    <row r="250" spans="1:11" ht="12.75" customHeight="1" x14ac:dyDescent="0.2">
      <c r="A250" s="249">
        <v>16214</v>
      </c>
      <c r="B250" s="250" t="s">
        <v>579</v>
      </c>
      <c r="C250" s="251" t="s">
        <v>577</v>
      </c>
      <c r="D250" s="251" t="s">
        <v>580</v>
      </c>
      <c r="E250" s="251"/>
      <c r="F250" s="252" t="s">
        <v>43</v>
      </c>
      <c r="G250" s="284" t="s">
        <v>58</v>
      </c>
      <c r="H250" s="285"/>
      <c r="I250" s="251" t="s">
        <v>561</v>
      </c>
      <c r="J250" s="251" t="s">
        <v>562</v>
      </c>
      <c r="K250" s="255" t="s">
        <v>24</v>
      </c>
    </row>
    <row r="251" spans="1:11" ht="12.75" customHeight="1" x14ac:dyDescent="0.2">
      <c r="A251" s="249">
        <v>38380</v>
      </c>
      <c r="B251" s="250" t="s">
        <v>581</v>
      </c>
      <c r="C251" s="251" t="s">
        <v>166</v>
      </c>
      <c r="D251" s="251" t="s">
        <v>582</v>
      </c>
      <c r="E251" s="251"/>
      <c r="F251" s="252" t="s">
        <v>43</v>
      </c>
      <c r="G251" s="284" t="s">
        <v>52</v>
      </c>
      <c r="H251" s="285" t="s">
        <v>45</v>
      </c>
      <c r="I251" s="251" t="s">
        <v>561</v>
      </c>
      <c r="J251" s="251" t="s">
        <v>562</v>
      </c>
      <c r="K251" s="255" t="s">
        <v>24</v>
      </c>
    </row>
    <row r="252" spans="1:11" ht="12.75" customHeight="1" x14ac:dyDescent="0.2">
      <c r="A252" s="249">
        <v>38838</v>
      </c>
      <c r="B252" s="250" t="s">
        <v>2129</v>
      </c>
      <c r="C252" s="251" t="s">
        <v>2130</v>
      </c>
      <c r="D252" s="251" t="s">
        <v>231</v>
      </c>
      <c r="E252" s="251"/>
      <c r="F252" s="252" t="s">
        <v>43</v>
      </c>
      <c r="G252" s="284" t="s">
        <v>94</v>
      </c>
      <c r="H252" s="285"/>
      <c r="I252" s="251" t="s">
        <v>561</v>
      </c>
      <c r="J252" s="251" t="s">
        <v>562</v>
      </c>
      <c r="K252" s="255" t="s">
        <v>24</v>
      </c>
    </row>
    <row r="253" spans="1:11" ht="12.75" customHeight="1" x14ac:dyDescent="0.2">
      <c r="A253" s="249">
        <v>25266</v>
      </c>
      <c r="B253" s="250" t="s">
        <v>583</v>
      </c>
      <c r="C253" s="257" t="s">
        <v>584</v>
      </c>
      <c r="D253" s="257" t="s">
        <v>585</v>
      </c>
      <c r="E253" s="257" t="s">
        <v>2374</v>
      </c>
      <c r="F253" s="252" t="s">
        <v>43</v>
      </c>
      <c r="G253" s="284" t="s">
        <v>67</v>
      </c>
      <c r="H253" s="285" t="s">
        <v>180</v>
      </c>
      <c r="I253" s="257" t="s">
        <v>561</v>
      </c>
      <c r="J253" s="257" t="s">
        <v>562</v>
      </c>
      <c r="K253" s="255" t="s">
        <v>24</v>
      </c>
    </row>
    <row r="254" spans="1:11" ht="12.75" customHeight="1" x14ac:dyDescent="0.2">
      <c r="A254" s="249">
        <v>29466</v>
      </c>
      <c r="B254" s="250" t="s">
        <v>2340</v>
      </c>
      <c r="C254" s="251" t="s">
        <v>2341</v>
      </c>
      <c r="D254" s="251" t="s">
        <v>143</v>
      </c>
      <c r="E254" s="251"/>
      <c r="F254" s="252" t="s">
        <v>43</v>
      </c>
      <c r="G254" s="284" t="s">
        <v>67</v>
      </c>
      <c r="H254" s="285" t="s">
        <v>66</v>
      </c>
      <c r="I254" s="251" t="s">
        <v>561</v>
      </c>
      <c r="J254" s="251" t="s">
        <v>562</v>
      </c>
      <c r="K254" s="255" t="s">
        <v>24</v>
      </c>
    </row>
    <row r="255" spans="1:11" ht="12.75" customHeight="1" x14ac:dyDescent="0.2">
      <c r="A255" s="249">
        <v>38556</v>
      </c>
      <c r="B255" s="250" t="s">
        <v>586</v>
      </c>
      <c r="C255" s="251" t="s">
        <v>587</v>
      </c>
      <c r="D255" s="251" t="s">
        <v>588</v>
      </c>
      <c r="E255" s="251"/>
      <c r="F255" s="252" t="s">
        <v>43</v>
      </c>
      <c r="G255" s="284" t="s">
        <v>44</v>
      </c>
      <c r="H255" s="285" t="s">
        <v>45</v>
      </c>
      <c r="I255" s="251" t="s">
        <v>561</v>
      </c>
      <c r="J255" s="251" t="s">
        <v>562</v>
      </c>
      <c r="K255" s="255" t="s">
        <v>24</v>
      </c>
    </row>
    <row r="256" spans="1:11" ht="12.75" customHeight="1" x14ac:dyDescent="0.2">
      <c r="A256" s="249">
        <v>16220</v>
      </c>
      <c r="B256" s="250" t="s">
        <v>589</v>
      </c>
      <c r="C256" s="251" t="s">
        <v>590</v>
      </c>
      <c r="D256" s="251" t="s">
        <v>97</v>
      </c>
      <c r="E256" s="251"/>
      <c r="F256" s="252" t="s">
        <v>43</v>
      </c>
      <c r="G256" s="284" t="s">
        <v>58</v>
      </c>
      <c r="H256" s="285" t="s">
        <v>45</v>
      </c>
      <c r="I256" s="251" t="s">
        <v>561</v>
      </c>
      <c r="J256" s="251" t="s">
        <v>562</v>
      </c>
      <c r="K256" s="255" t="s">
        <v>24</v>
      </c>
    </row>
    <row r="257" spans="1:17" ht="12.75" customHeight="1" x14ac:dyDescent="0.2">
      <c r="A257" s="249">
        <v>16218</v>
      </c>
      <c r="B257" s="250" t="s">
        <v>591</v>
      </c>
      <c r="C257" s="251" t="s">
        <v>592</v>
      </c>
      <c r="D257" s="251" t="s">
        <v>143</v>
      </c>
      <c r="E257" s="251"/>
      <c r="F257" s="252" t="s">
        <v>43</v>
      </c>
      <c r="G257" s="284" t="s">
        <v>52</v>
      </c>
      <c r="H257" s="285" t="s">
        <v>51</v>
      </c>
      <c r="I257" s="251" t="s">
        <v>561</v>
      </c>
      <c r="J257" s="251" t="s">
        <v>562</v>
      </c>
      <c r="K257" s="255" t="s">
        <v>24</v>
      </c>
    </row>
    <row r="258" spans="1:17" ht="12.75" customHeight="1" x14ac:dyDescent="0.2">
      <c r="A258" s="249">
        <v>38379</v>
      </c>
      <c r="B258" s="250" t="s">
        <v>593</v>
      </c>
      <c r="C258" s="251" t="s">
        <v>594</v>
      </c>
      <c r="D258" s="251" t="s">
        <v>595</v>
      </c>
      <c r="E258" s="251"/>
      <c r="F258" s="252" t="s">
        <v>43</v>
      </c>
      <c r="G258" s="284" t="s">
        <v>52</v>
      </c>
      <c r="H258" s="285" t="s">
        <v>51</v>
      </c>
      <c r="I258" s="251" t="s">
        <v>561</v>
      </c>
      <c r="J258" s="251" t="s">
        <v>562</v>
      </c>
      <c r="K258" s="255" t="s">
        <v>24</v>
      </c>
    </row>
    <row r="259" spans="1:17" ht="12.75" customHeight="1" x14ac:dyDescent="0.2">
      <c r="A259" s="249">
        <v>31583</v>
      </c>
      <c r="B259" s="250" t="s">
        <v>596</v>
      </c>
      <c r="C259" s="251" t="s">
        <v>597</v>
      </c>
      <c r="D259" s="251" t="s">
        <v>598</v>
      </c>
      <c r="E259" s="251"/>
      <c r="F259" s="252" t="s">
        <v>43</v>
      </c>
      <c r="G259" s="284" t="s">
        <v>44</v>
      </c>
      <c r="H259" s="285" t="s">
        <v>45</v>
      </c>
      <c r="I259" s="251" t="s">
        <v>561</v>
      </c>
      <c r="J259" s="251" t="s">
        <v>562</v>
      </c>
      <c r="K259" s="255" t="s">
        <v>24</v>
      </c>
    </row>
    <row r="260" spans="1:17" ht="12.75" customHeight="1" x14ac:dyDescent="0.2">
      <c r="A260" s="249">
        <v>38734</v>
      </c>
      <c r="B260" s="250" t="s">
        <v>1875</v>
      </c>
      <c r="C260" s="251" t="s">
        <v>600</v>
      </c>
      <c r="D260" s="251" t="s">
        <v>1375</v>
      </c>
      <c r="E260" s="251"/>
      <c r="F260" s="252" t="s">
        <v>43</v>
      </c>
      <c r="G260" s="284" t="s">
        <v>360</v>
      </c>
      <c r="H260" s="285" t="s">
        <v>51</v>
      </c>
      <c r="I260" s="251" t="s">
        <v>561</v>
      </c>
      <c r="J260" s="251" t="s">
        <v>562</v>
      </c>
      <c r="K260" s="255" t="s">
        <v>24</v>
      </c>
    </row>
    <row r="261" spans="1:17" ht="12.75" customHeight="1" x14ac:dyDescent="0.2">
      <c r="A261" s="249">
        <v>38733</v>
      </c>
      <c r="B261" s="250" t="s">
        <v>1876</v>
      </c>
      <c r="C261" s="251" t="s">
        <v>600</v>
      </c>
      <c r="D261" s="251" t="s">
        <v>1877</v>
      </c>
      <c r="E261" s="251"/>
      <c r="F261" s="252" t="s">
        <v>43</v>
      </c>
      <c r="G261" s="284" t="s">
        <v>44</v>
      </c>
      <c r="H261" s="285" t="s">
        <v>51</v>
      </c>
      <c r="I261" s="251" t="s">
        <v>561</v>
      </c>
      <c r="J261" s="251" t="s">
        <v>562</v>
      </c>
      <c r="K261" s="255" t="s">
        <v>24</v>
      </c>
      <c r="L261" s="281"/>
      <c r="M261" s="281"/>
      <c r="N261" s="281"/>
      <c r="Q261" s="283"/>
    </row>
    <row r="262" spans="1:17" ht="12.75" customHeight="1" x14ac:dyDescent="0.2">
      <c r="A262" s="249">
        <v>16292</v>
      </c>
      <c r="B262" s="250" t="s">
        <v>599</v>
      </c>
      <c r="C262" s="251" t="s">
        <v>600</v>
      </c>
      <c r="D262" s="251" t="s">
        <v>125</v>
      </c>
      <c r="E262" s="251"/>
      <c r="F262" s="252" t="s">
        <v>43</v>
      </c>
      <c r="G262" s="284" t="s">
        <v>44</v>
      </c>
      <c r="H262" s="285" t="s">
        <v>180</v>
      </c>
      <c r="I262" s="251" t="s">
        <v>561</v>
      </c>
      <c r="J262" s="251" t="s">
        <v>562</v>
      </c>
      <c r="K262" s="255" t="s">
        <v>24</v>
      </c>
      <c r="L262" s="281"/>
      <c r="M262" s="281"/>
      <c r="N262" s="281"/>
      <c r="Q262" s="283"/>
    </row>
    <row r="263" spans="1:17" ht="12.75" customHeight="1" x14ac:dyDescent="0.2">
      <c r="A263" s="249">
        <v>16215</v>
      </c>
      <c r="B263" s="250" t="s">
        <v>601</v>
      </c>
      <c r="C263" s="251" t="s">
        <v>602</v>
      </c>
      <c r="D263" s="251" t="s">
        <v>238</v>
      </c>
      <c r="E263" s="251"/>
      <c r="F263" s="252" t="s">
        <v>43</v>
      </c>
      <c r="G263" s="284" t="s">
        <v>44</v>
      </c>
      <c r="H263" s="285" t="s">
        <v>239</v>
      </c>
      <c r="I263" s="251" t="s">
        <v>561</v>
      </c>
      <c r="J263" s="251" t="s">
        <v>562</v>
      </c>
      <c r="K263" s="255" t="s">
        <v>24</v>
      </c>
    </row>
    <row r="264" spans="1:17" ht="12.75" customHeight="1" x14ac:dyDescent="0.2">
      <c r="A264" s="249">
        <v>38874</v>
      </c>
      <c r="B264" s="250" t="s">
        <v>2305</v>
      </c>
      <c r="C264" s="251" t="s">
        <v>2306</v>
      </c>
      <c r="D264" s="251" t="s">
        <v>435</v>
      </c>
      <c r="E264" s="251"/>
      <c r="F264" s="252" t="s">
        <v>43</v>
      </c>
      <c r="G264" s="258" t="s">
        <v>44</v>
      </c>
      <c r="H264" s="259">
        <v>0</v>
      </c>
      <c r="I264" s="251" t="s">
        <v>561</v>
      </c>
      <c r="J264" s="251" t="s">
        <v>562</v>
      </c>
      <c r="K264" s="255" t="s">
        <v>24</v>
      </c>
    </row>
    <row r="265" spans="1:17" ht="12.75" customHeight="1" x14ac:dyDescent="0.2">
      <c r="A265" s="249">
        <v>18884</v>
      </c>
      <c r="B265" s="250" t="s">
        <v>2131</v>
      </c>
      <c r="C265" s="251" t="s">
        <v>2132</v>
      </c>
      <c r="D265" s="251" t="s">
        <v>143</v>
      </c>
      <c r="E265" s="251"/>
      <c r="F265" s="252" t="s">
        <v>43</v>
      </c>
      <c r="G265" s="284" t="s">
        <v>67</v>
      </c>
      <c r="H265" s="285" t="s">
        <v>45</v>
      </c>
      <c r="I265" s="251" t="s">
        <v>561</v>
      </c>
      <c r="J265" s="251" t="s">
        <v>562</v>
      </c>
      <c r="K265" s="255" t="s">
        <v>24</v>
      </c>
    </row>
    <row r="266" spans="1:17" ht="12.75" customHeight="1" x14ac:dyDescent="0.2">
      <c r="A266" s="249">
        <v>38467</v>
      </c>
      <c r="B266" s="250" t="s">
        <v>603</v>
      </c>
      <c r="C266" s="251" t="s">
        <v>199</v>
      </c>
      <c r="D266" s="251" t="s">
        <v>604</v>
      </c>
      <c r="E266" s="251"/>
      <c r="F266" s="252" t="s">
        <v>43</v>
      </c>
      <c r="G266" s="284" t="s">
        <v>44</v>
      </c>
      <c r="H266" s="285" t="s">
        <v>66</v>
      </c>
      <c r="I266" s="251" t="s">
        <v>561</v>
      </c>
      <c r="J266" s="251" t="s">
        <v>562</v>
      </c>
      <c r="K266" s="255" t="s">
        <v>24</v>
      </c>
    </row>
    <row r="267" spans="1:17" ht="12.75" customHeight="1" x14ac:dyDescent="0.2">
      <c r="A267" s="249">
        <v>16722</v>
      </c>
      <c r="B267" s="250" t="s">
        <v>2446</v>
      </c>
      <c r="C267" s="251" t="s">
        <v>2447</v>
      </c>
      <c r="D267" s="251" t="s">
        <v>179</v>
      </c>
      <c r="E267" s="251"/>
      <c r="F267" s="252" t="s">
        <v>43</v>
      </c>
      <c r="G267" s="253" t="s">
        <v>44</v>
      </c>
      <c r="H267" s="254">
        <v>0</v>
      </c>
      <c r="I267" s="251" t="s">
        <v>561</v>
      </c>
      <c r="J267" s="251" t="s">
        <v>562</v>
      </c>
      <c r="K267" s="255" t="s">
        <v>24</v>
      </c>
    </row>
    <row r="268" spans="1:17" ht="12.75" customHeight="1" x14ac:dyDescent="0.2">
      <c r="A268" s="249">
        <v>38043</v>
      </c>
      <c r="B268" s="250" t="s">
        <v>607</v>
      </c>
      <c r="C268" s="251" t="s">
        <v>608</v>
      </c>
      <c r="D268" s="251" t="s">
        <v>238</v>
      </c>
      <c r="E268" s="251"/>
      <c r="F268" s="252" t="s">
        <v>43</v>
      </c>
      <c r="G268" s="284" t="s">
        <v>44</v>
      </c>
      <c r="H268" s="285" t="s">
        <v>180</v>
      </c>
      <c r="I268" s="251" t="s">
        <v>633</v>
      </c>
      <c r="J268" s="251" t="s">
        <v>634</v>
      </c>
      <c r="K268" s="255" t="s">
        <v>635</v>
      </c>
      <c r="L268" s="281"/>
      <c r="M268" s="281"/>
      <c r="N268" s="281"/>
      <c r="Q268" s="283"/>
    </row>
    <row r="269" spans="1:17" ht="12.75" customHeight="1" x14ac:dyDescent="0.2">
      <c r="A269" s="249">
        <v>16247</v>
      </c>
      <c r="B269" s="250" t="s">
        <v>279</v>
      </c>
      <c r="C269" s="251" t="s">
        <v>280</v>
      </c>
      <c r="D269" s="251" t="s">
        <v>281</v>
      </c>
      <c r="E269" s="251"/>
      <c r="F269" s="252" t="s">
        <v>43</v>
      </c>
      <c r="G269" s="284" t="s">
        <v>67</v>
      </c>
      <c r="H269" s="285" t="s">
        <v>51</v>
      </c>
      <c r="I269" s="251" t="s">
        <v>633</v>
      </c>
      <c r="J269" s="251" t="s">
        <v>634</v>
      </c>
      <c r="K269" s="255" t="s">
        <v>635</v>
      </c>
    </row>
    <row r="270" spans="1:17" ht="12.75" customHeight="1" x14ac:dyDescent="0.2">
      <c r="A270" s="249">
        <v>38249</v>
      </c>
      <c r="B270" s="250" t="s">
        <v>611</v>
      </c>
      <c r="C270" s="251" t="s">
        <v>612</v>
      </c>
      <c r="D270" s="251" t="s">
        <v>61</v>
      </c>
      <c r="E270" s="251"/>
      <c r="F270" s="252" t="s">
        <v>43</v>
      </c>
      <c r="G270" s="284" t="s">
        <v>44</v>
      </c>
      <c r="H270" s="285" t="s">
        <v>45</v>
      </c>
      <c r="I270" s="251" t="s">
        <v>633</v>
      </c>
      <c r="J270" s="251" t="s">
        <v>634</v>
      </c>
      <c r="K270" s="255" t="s">
        <v>635</v>
      </c>
    </row>
    <row r="271" spans="1:17" ht="12.75" customHeight="1" x14ac:dyDescent="0.2">
      <c r="A271" s="249">
        <v>7099</v>
      </c>
      <c r="B271" s="250">
        <v>9111146</v>
      </c>
      <c r="C271" s="251" t="s">
        <v>613</v>
      </c>
      <c r="D271" s="251" t="s">
        <v>82</v>
      </c>
      <c r="E271" s="251"/>
      <c r="F271" s="252" t="s">
        <v>43</v>
      </c>
      <c r="G271" s="284" t="s">
        <v>44</v>
      </c>
      <c r="H271" s="285" t="s">
        <v>239</v>
      </c>
      <c r="I271" s="251" t="s">
        <v>633</v>
      </c>
      <c r="J271" s="251" t="s">
        <v>634</v>
      </c>
      <c r="K271" s="255" t="s">
        <v>635</v>
      </c>
    </row>
    <row r="272" spans="1:17" ht="12.75" customHeight="1" x14ac:dyDescent="0.2">
      <c r="A272" s="249">
        <v>16533</v>
      </c>
      <c r="B272" s="250" t="s">
        <v>636</v>
      </c>
      <c r="C272" s="251" t="s">
        <v>637</v>
      </c>
      <c r="D272" s="251" t="s">
        <v>435</v>
      </c>
      <c r="E272" s="251"/>
      <c r="F272" s="252" t="s">
        <v>43</v>
      </c>
      <c r="G272" s="284" t="s">
        <v>44</v>
      </c>
      <c r="H272" s="285"/>
      <c r="I272" s="251" t="s">
        <v>633</v>
      </c>
      <c r="J272" s="251" t="s">
        <v>634</v>
      </c>
      <c r="K272" s="255" t="s">
        <v>635</v>
      </c>
    </row>
    <row r="273" spans="1:11" ht="12.75" customHeight="1" x14ac:dyDescent="0.2">
      <c r="A273" s="249">
        <v>16545</v>
      </c>
      <c r="B273" s="250" t="s">
        <v>638</v>
      </c>
      <c r="C273" s="251" t="s">
        <v>639</v>
      </c>
      <c r="D273" s="251" t="s">
        <v>263</v>
      </c>
      <c r="E273" s="251"/>
      <c r="F273" s="252" t="s">
        <v>43</v>
      </c>
      <c r="G273" s="284" t="s">
        <v>58</v>
      </c>
      <c r="H273" s="285" t="s">
        <v>45</v>
      </c>
      <c r="I273" s="251" t="s">
        <v>633</v>
      </c>
      <c r="J273" s="251" t="s">
        <v>634</v>
      </c>
      <c r="K273" s="255" t="s">
        <v>635</v>
      </c>
    </row>
    <row r="274" spans="1:11" ht="12.75" customHeight="1" x14ac:dyDescent="0.2">
      <c r="A274" s="249">
        <v>16532</v>
      </c>
      <c r="B274" s="250" t="s">
        <v>640</v>
      </c>
      <c r="C274" s="251" t="s">
        <v>639</v>
      </c>
      <c r="D274" s="251" t="s">
        <v>641</v>
      </c>
      <c r="E274" s="251"/>
      <c r="F274" s="252" t="s">
        <v>43</v>
      </c>
      <c r="G274" s="284" t="s">
        <v>67</v>
      </c>
      <c r="H274" s="285" t="s">
        <v>66</v>
      </c>
      <c r="I274" s="251" t="s">
        <v>633</v>
      </c>
      <c r="J274" s="251" t="s">
        <v>634</v>
      </c>
      <c r="K274" s="255" t="s">
        <v>635</v>
      </c>
    </row>
    <row r="275" spans="1:11" ht="12.75" customHeight="1" x14ac:dyDescent="0.2">
      <c r="A275" s="249">
        <v>16874</v>
      </c>
      <c r="B275" s="250" t="s">
        <v>642</v>
      </c>
      <c r="C275" s="251" t="s">
        <v>643</v>
      </c>
      <c r="D275" s="251" t="s">
        <v>644</v>
      </c>
      <c r="E275" s="251"/>
      <c r="F275" s="252" t="s">
        <v>43</v>
      </c>
      <c r="G275" s="284" t="s">
        <v>52</v>
      </c>
      <c r="H275" s="285"/>
      <c r="I275" s="251" t="s">
        <v>633</v>
      </c>
      <c r="J275" s="251" t="s">
        <v>634</v>
      </c>
      <c r="K275" s="255" t="s">
        <v>635</v>
      </c>
    </row>
    <row r="276" spans="1:11" ht="12.75" customHeight="1" x14ac:dyDescent="0.2">
      <c r="A276" s="249">
        <v>16534</v>
      </c>
      <c r="B276" s="250" t="s">
        <v>645</v>
      </c>
      <c r="C276" s="251" t="s">
        <v>646</v>
      </c>
      <c r="D276" s="251" t="s">
        <v>120</v>
      </c>
      <c r="E276" s="251"/>
      <c r="F276" s="252" t="s">
        <v>43</v>
      </c>
      <c r="G276" s="284" t="s">
        <v>67</v>
      </c>
      <c r="H276" s="285" t="s">
        <v>66</v>
      </c>
      <c r="I276" s="251" t="s">
        <v>633</v>
      </c>
      <c r="J276" s="251" t="s">
        <v>634</v>
      </c>
      <c r="K276" s="255" t="s">
        <v>635</v>
      </c>
    </row>
    <row r="277" spans="1:11" ht="12.75" customHeight="1" x14ac:dyDescent="0.2">
      <c r="A277" s="249">
        <v>25516</v>
      </c>
      <c r="B277" s="250" t="s">
        <v>2390</v>
      </c>
      <c r="C277" s="251" t="s">
        <v>2391</v>
      </c>
      <c r="D277" s="251" t="s">
        <v>143</v>
      </c>
      <c r="E277" s="251"/>
      <c r="F277" s="252" t="s">
        <v>43</v>
      </c>
      <c r="G277" s="284" t="s">
        <v>44</v>
      </c>
      <c r="H277" s="285" t="s">
        <v>180</v>
      </c>
      <c r="I277" s="251" t="s">
        <v>633</v>
      </c>
      <c r="J277" s="251" t="s">
        <v>634</v>
      </c>
      <c r="K277" s="255" t="s">
        <v>635</v>
      </c>
    </row>
    <row r="278" spans="1:11" ht="12.75" customHeight="1" x14ac:dyDescent="0.2">
      <c r="A278" s="249">
        <v>16873</v>
      </c>
      <c r="B278" s="250">
        <v>9019474</v>
      </c>
      <c r="C278" s="251" t="s">
        <v>1714</v>
      </c>
      <c r="D278" s="251" t="s">
        <v>1715</v>
      </c>
      <c r="E278" s="251"/>
      <c r="F278" s="252" t="s">
        <v>43</v>
      </c>
      <c r="G278" s="284" t="s">
        <v>52</v>
      </c>
      <c r="H278" s="285" t="s">
        <v>66</v>
      </c>
      <c r="I278" s="251" t="s">
        <v>633</v>
      </c>
      <c r="J278" s="251" t="s">
        <v>634</v>
      </c>
      <c r="K278" s="255" t="s">
        <v>635</v>
      </c>
    </row>
    <row r="279" spans="1:11" ht="12.75" customHeight="1" x14ac:dyDescent="0.2">
      <c r="A279" s="249">
        <v>38041</v>
      </c>
      <c r="B279" s="250">
        <v>9019458</v>
      </c>
      <c r="C279" s="251" t="s">
        <v>626</v>
      </c>
      <c r="D279" s="251" t="s">
        <v>253</v>
      </c>
      <c r="E279" s="251"/>
      <c r="F279" s="252" t="s">
        <v>43</v>
      </c>
      <c r="G279" s="284" t="s">
        <v>44</v>
      </c>
      <c r="H279" s="285" t="s">
        <v>180</v>
      </c>
      <c r="I279" s="251" t="s">
        <v>633</v>
      </c>
      <c r="J279" s="251" t="s">
        <v>634</v>
      </c>
      <c r="K279" s="255" t="s">
        <v>635</v>
      </c>
    </row>
    <row r="280" spans="1:11" ht="12.75" customHeight="1" x14ac:dyDescent="0.2">
      <c r="A280" s="249">
        <v>38688</v>
      </c>
      <c r="B280" s="250" t="s">
        <v>647</v>
      </c>
      <c r="C280" s="257" t="s">
        <v>648</v>
      </c>
      <c r="D280" s="257" t="s">
        <v>165</v>
      </c>
      <c r="E280" s="257" t="s">
        <v>2374</v>
      </c>
      <c r="F280" s="252" t="s">
        <v>43</v>
      </c>
      <c r="G280" s="284" t="s">
        <v>44</v>
      </c>
      <c r="H280" s="285" t="s">
        <v>51</v>
      </c>
      <c r="I280" s="257" t="s">
        <v>633</v>
      </c>
      <c r="J280" s="257" t="s">
        <v>634</v>
      </c>
      <c r="K280" s="255" t="s">
        <v>635</v>
      </c>
    </row>
    <row r="281" spans="1:11" ht="12.75" customHeight="1" x14ac:dyDescent="0.2">
      <c r="A281" s="249">
        <v>25883</v>
      </c>
      <c r="B281" s="250">
        <v>9111262</v>
      </c>
      <c r="C281" s="251" t="s">
        <v>649</v>
      </c>
      <c r="D281" s="251" t="s">
        <v>650</v>
      </c>
      <c r="E281" s="251"/>
      <c r="F281" s="252" t="s">
        <v>43</v>
      </c>
      <c r="G281" s="284" t="s">
        <v>52</v>
      </c>
      <c r="H281" s="285" t="s">
        <v>51</v>
      </c>
      <c r="I281" s="251" t="s">
        <v>633</v>
      </c>
      <c r="J281" s="251" t="s">
        <v>634</v>
      </c>
      <c r="K281" s="255" t="s">
        <v>635</v>
      </c>
    </row>
    <row r="282" spans="1:11" ht="12.75" customHeight="1" x14ac:dyDescent="0.2">
      <c r="A282" s="249">
        <v>16535</v>
      </c>
      <c r="B282" s="250" t="s">
        <v>651</v>
      </c>
      <c r="C282" s="251" t="s">
        <v>652</v>
      </c>
      <c r="D282" s="251" t="s">
        <v>653</v>
      </c>
      <c r="E282" s="251"/>
      <c r="F282" s="252" t="s">
        <v>43</v>
      </c>
      <c r="G282" s="284" t="s">
        <v>52</v>
      </c>
      <c r="H282" s="285" t="s">
        <v>51</v>
      </c>
      <c r="I282" s="251" t="s">
        <v>633</v>
      </c>
      <c r="J282" s="251" t="s">
        <v>634</v>
      </c>
      <c r="K282" s="255" t="s">
        <v>635</v>
      </c>
    </row>
    <row r="283" spans="1:11" ht="12.75" customHeight="1" x14ac:dyDescent="0.2">
      <c r="A283" s="249">
        <v>25063</v>
      </c>
      <c r="B283" s="250" t="s">
        <v>654</v>
      </c>
      <c r="C283" s="251" t="s">
        <v>655</v>
      </c>
      <c r="D283" s="251" t="s">
        <v>656</v>
      </c>
      <c r="E283" s="251"/>
      <c r="F283" s="252" t="s">
        <v>43</v>
      </c>
      <c r="G283" s="284" t="s">
        <v>52</v>
      </c>
      <c r="H283" s="285" t="s">
        <v>45</v>
      </c>
      <c r="I283" s="251" t="s">
        <v>633</v>
      </c>
      <c r="J283" s="251" t="s">
        <v>634</v>
      </c>
      <c r="K283" s="255" t="s">
        <v>635</v>
      </c>
    </row>
    <row r="284" spans="1:11" ht="12.75" customHeight="1" x14ac:dyDescent="0.2">
      <c r="A284" s="249">
        <v>25250</v>
      </c>
      <c r="B284" s="250" t="s">
        <v>2014</v>
      </c>
      <c r="C284" s="251" t="s">
        <v>655</v>
      </c>
      <c r="D284" s="251" t="s">
        <v>657</v>
      </c>
      <c r="E284" s="251"/>
      <c r="F284" s="252" t="s">
        <v>49</v>
      </c>
      <c r="G284" s="284" t="s">
        <v>50</v>
      </c>
      <c r="H284" s="285" t="s">
        <v>51</v>
      </c>
      <c r="I284" s="251" t="s">
        <v>633</v>
      </c>
      <c r="J284" s="251" t="s">
        <v>634</v>
      </c>
      <c r="K284" s="255" t="s">
        <v>635</v>
      </c>
    </row>
    <row r="285" spans="1:11" ht="12.75" customHeight="1" x14ac:dyDescent="0.2">
      <c r="A285" s="249">
        <v>38680</v>
      </c>
      <c r="B285" s="250" t="s">
        <v>631</v>
      </c>
      <c r="C285" s="251" t="s">
        <v>74</v>
      </c>
      <c r="D285" s="251" t="s">
        <v>195</v>
      </c>
      <c r="E285" s="251"/>
      <c r="F285" s="252" t="s">
        <v>43</v>
      </c>
      <c r="G285" s="284" t="s">
        <v>44</v>
      </c>
      <c r="H285" s="285"/>
      <c r="I285" s="251" t="s">
        <v>633</v>
      </c>
      <c r="J285" s="251" t="s">
        <v>634</v>
      </c>
      <c r="K285" s="255" t="s">
        <v>635</v>
      </c>
    </row>
    <row r="286" spans="1:11" ht="12.75" customHeight="1" x14ac:dyDescent="0.2">
      <c r="A286" s="249">
        <v>7230</v>
      </c>
      <c r="B286" s="250" t="s">
        <v>658</v>
      </c>
      <c r="C286" s="251" t="s">
        <v>659</v>
      </c>
      <c r="D286" s="251" t="s">
        <v>491</v>
      </c>
      <c r="E286" s="251"/>
      <c r="F286" s="252" t="s">
        <v>43</v>
      </c>
      <c r="G286" s="284" t="s">
        <v>44</v>
      </c>
      <c r="H286" s="285" t="s">
        <v>180</v>
      </c>
      <c r="I286" s="251" t="s">
        <v>660</v>
      </c>
      <c r="J286" s="251" t="s">
        <v>661</v>
      </c>
      <c r="K286" s="255" t="s">
        <v>12</v>
      </c>
    </row>
    <row r="287" spans="1:11" ht="12.75" customHeight="1" x14ac:dyDescent="0.2">
      <c r="A287" s="249">
        <v>7214</v>
      </c>
      <c r="B287" s="250" t="s">
        <v>2273</v>
      </c>
      <c r="C287" s="251" t="s">
        <v>662</v>
      </c>
      <c r="D287" s="251" t="s">
        <v>143</v>
      </c>
      <c r="E287" s="251"/>
      <c r="F287" s="252" t="s">
        <v>43</v>
      </c>
      <c r="G287" s="284" t="s">
        <v>67</v>
      </c>
      <c r="H287" s="285"/>
      <c r="I287" s="251" t="s">
        <v>660</v>
      </c>
      <c r="J287" s="251" t="s">
        <v>661</v>
      </c>
      <c r="K287" s="255" t="s">
        <v>12</v>
      </c>
    </row>
    <row r="288" spans="1:11" ht="12.75" customHeight="1" x14ac:dyDescent="0.2">
      <c r="A288" s="249">
        <v>7181</v>
      </c>
      <c r="B288" s="250" t="s">
        <v>663</v>
      </c>
      <c r="C288" s="251" t="s">
        <v>664</v>
      </c>
      <c r="D288" s="251" t="s">
        <v>461</v>
      </c>
      <c r="E288" s="251"/>
      <c r="F288" s="252" t="s">
        <v>43</v>
      </c>
      <c r="G288" s="253" t="s">
        <v>58</v>
      </c>
      <c r="H288" s="254">
        <v>0</v>
      </c>
      <c r="I288" s="251" t="s">
        <v>660</v>
      </c>
      <c r="J288" s="251" t="s">
        <v>661</v>
      </c>
      <c r="K288" s="255" t="s">
        <v>12</v>
      </c>
    </row>
    <row r="289" spans="1:17" ht="12.75" customHeight="1" x14ac:dyDescent="0.2">
      <c r="A289" s="249">
        <v>25455</v>
      </c>
      <c r="B289" s="250" t="s">
        <v>665</v>
      </c>
      <c r="C289" s="251" t="s">
        <v>666</v>
      </c>
      <c r="D289" s="251" t="s">
        <v>667</v>
      </c>
      <c r="E289" s="251"/>
      <c r="F289" s="252" t="s">
        <v>43</v>
      </c>
      <c r="G289" s="284" t="s">
        <v>44</v>
      </c>
      <c r="H289" s="285" t="s">
        <v>180</v>
      </c>
      <c r="I289" s="251" t="s">
        <v>660</v>
      </c>
      <c r="J289" s="251" t="s">
        <v>661</v>
      </c>
      <c r="K289" s="255" t="s">
        <v>12</v>
      </c>
    </row>
    <row r="290" spans="1:17" ht="12.75" customHeight="1" x14ac:dyDescent="0.2">
      <c r="A290" s="249">
        <v>7185</v>
      </c>
      <c r="B290" s="250" t="s">
        <v>2133</v>
      </c>
      <c r="C290" s="251" t="s">
        <v>666</v>
      </c>
      <c r="D290" s="251" t="s">
        <v>97</v>
      </c>
      <c r="E290" s="251"/>
      <c r="F290" s="252" t="s">
        <v>43</v>
      </c>
      <c r="G290" s="284" t="s">
        <v>52</v>
      </c>
      <c r="H290" s="285"/>
      <c r="I290" s="251" t="s">
        <v>660</v>
      </c>
      <c r="J290" s="251" t="s">
        <v>661</v>
      </c>
      <c r="K290" s="255" t="s">
        <v>12</v>
      </c>
    </row>
    <row r="291" spans="1:17" ht="12.75" customHeight="1" x14ac:dyDescent="0.2">
      <c r="A291" s="249">
        <v>16198</v>
      </c>
      <c r="B291" s="250" t="s">
        <v>2274</v>
      </c>
      <c r="C291" s="251" t="s">
        <v>668</v>
      </c>
      <c r="D291" s="251" t="s">
        <v>99</v>
      </c>
      <c r="E291" s="251"/>
      <c r="F291" s="252" t="s">
        <v>43</v>
      </c>
      <c r="G291" s="284" t="s">
        <v>44</v>
      </c>
      <c r="H291" s="285" t="s">
        <v>180</v>
      </c>
      <c r="I291" s="251" t="s">
        <v>660</v>
      </c>
      <c r="J291" s="251" t="s">
        <v>661</v>
      </c>
      <c r="K291" s="255" t="s">
        <v>12</v>
      </c>
    </row>
    <row r="292" spans="1:17" ht="12.75" customHeight="1" x14ac:dyDescent="0.2">
      <c r="A292" s="249">
        <v>38209</v>
      </c>
      <c r="B292" s="250" t="s">
        <v>669</v>
      </c>
      <c r="C292" s="251" t="s">
        <v>670</v>
      </c>
      <c r="D292" s="251" t="s">
        <v>136</v>
      </c>
      <c r="E292" s="251"/>
      <c r="F292" s="252" t="s">
        <v>43</v>
      </c>
      <c r="G292" s="284" t="s">
        <v>44</v>
      </c>
      <c r="H292" s="285" t="s">
        <v>239</v>
      </c>
      <c r="I292" s="251" t="s">
        <v>660</v>
      </c>
      <c r="J292" s="251" t="s">
        <v>661</v>
      </c>
      <c r="K292" s="255" t="s">
        <v>12</v>
      </c>
    </row>
    <row r="293" spans="1:17" ht="12.75" customHeight="1" x14ac:dyDescent="0.2">
      <c r="A293" s="249">
        <v>38927</v>
      </c>
      <c r="B293" s="250" t="s">
        <v>2448</v>
      </c>
      <c r="C293" s="251" t="s">
        <v>2226</v>
      </c>
      <c r="D293" s="251" t="s">
        <v>2239</v>
      </c>
      <c r="E293" s="251"/>
      <c r="F293" s="252" t="s">
        <v>43</v>
      </c>
      <c r="G293" s="258" t="s">
        <v>89</v>
      </c>
      <c r="H293" s="259">
        <v>0</v>
      </c>
      <c r="I293" s="251" t="s">
        <v>672</v>
      </c>
      <c r="J293" s="251" t="s">
        <v>673</v>
      </c>
      <c r="K293" s="255" t="s">
        <v>674</v>
      </c>
    </row>
    <row r="294" spans="1:17" ht="12.75" customHeight="1" x14ac:dyDescent="0.2">
      <c r="A294" s="249">
        <v>38795</v>
      </c>
      <c r="B294" s="250" t="s">
        <v>2134</v>
      </c>
      <c r="C294" s="264" t="s">
        <v>2135</v>
      </c>
      <c r="D294" s="257" t="s">
        <v>2136</v>
      </c>
      <c r="E294" s="257" t="s">
        <v>2374</v>
      </c>
      <c r="F294" s="252" t="s">
        <v>43</v>
      </c>
      <c r="G294" s="284" t="s">
        <v>89</v>
      </c>
      <c r="H294" s="285" t="s">
        <v>104</v>
      </c>
      <c r="I294" s="257" t="s">
        <v>672</v>
      </c>
      <c r="J294" s="257" t="s">
        <v>673</v>
      </c>
      <c r="K294" s="255" t="s">
        <v>674</v>
      </c>
    </row>
    <row r="295" spans="1:17" ht="12.75" customHeight="1" x14ac:dyDescent="0.2">
      <c r="A295" s="249">
        <v>38674</v>
      </c>
      <c r="B295" s="250" t="s">
        <v>1664</v>
      </c>
      <c r="C295" s="251" t="s">
        <v>1665</v>
      </c>
      <c r="D295" s="251" t="s">
        <v>1666</v>
      </c>
      <c r="E295" s="251"/>
      <c r="F295" s="252" t="s">
        <v>43</v>
      </c>
      <c r="G295" s="284" t="s">
        <v>360</v>
      </c>
      <c r="H295" s="285" t="s">
        <v>104</v>
      </c>
      <c r="I295" s="251" t="s">
        <v>672</v>
      </c>
      <c r="J295" s="251" t="s">
        <v>673</v>
      </c>
      <c r="K295" s="255" t="s">
        <v>674</v>
      </c>
    </row>
    <row r="296" spans="1:17" ht="12.75" customHeight="1" x14ac:dyDescent="0.2">
      <c r="A296" s="249">
        <v>38767</v>
      </c>
      <c r="B296" s="250" t="s">
        <v>2015</v>
      </c>
      <c r="C296" s="264" t="s">
        <v>2016</v>
      </c>
      <c r="D296" s="257" t="s">
        <v>1407</v>
      </c>
      <c r="E296" s="257" t="s">
        <v>2374</v>
      </c>
      <c r="F296" s="252" t="s">
        <v>43</v>
      </c>
      <c r="G296" s="284" t="s">
        <v>89</v>
      </c>
      <c r="H296" s="285" t="s">
        <v>104</v>
      </c>
      <c r="I296" s="257" t="s">
        <v>672</v>
      </c>
      <c r="J296" s="257" t="s">
        <v>673</v>
      </c>
      <c r="K296" s="255" t="s">
        <v>674</v>
      </c>
      <c r="L296" s="281"/>
      <c r="M296" s="281"/>
      <c r="N296" s="281"/>
      <c r="Q296" s="283"/>
    </row>
    <row r="297" spans="1:17" ht="12.75" customHeight="1" x14ac:dyDescent="0.2">
      <c r="A297" s="249">
        <v>38894</v>
      </c>
      <c r="B297" s="250" t="s">
        <v>2392</v>
      </c>
      <c r="C297" s="251" t="s">
        <v>2393</v>
      </c>
      <c r="D297" s="251" t="s">
        <v>1375</v>
      </c>
      <c r="E297" s="251"/>
      <c r="F297" s="252" t="s">
        <v>43</v>
      </c>
      <c r="G297" s="284" t="s">
        <v>89</v>
      </c>
      <c r="H297" s="285" t="s">
        <v>104</v>
      </c>
      <c r="I297" s="251" t="s">
        <v>672</v>
      </c>
      <c r="J297" s="251" t="s">
        <v>673</v>
      </c>
      <c r="K297" s="255" t="s">
        <v>674</v>
      </c>
      <c r="L297" s="281"/>
      <c r="M297" s="281"/>
      <c r="N297" s="281"/>
      <c r="Q297" s="283"/>
    </row>
    <row r="298" spans="1:17" ht="12.75" customHeight="1" x14ac:dyDescent="0.2">
      <c r="A298" s="249">
        <v>38915</v>
      </c>
      <c r="B298" s="250" t="s">
        <v>2449</v>
      </c>
      <c r="C298" s="251" t="s">
        <v>2450</v>
      </c>
      <c r="D298" s="251" t="s">
        <v>2451</v>
      </c>
      <c r="E298" s="251"/>
      <c r="F298" s="252" t="s">
        <v>43</v>
      </c>
      <c r="G298" s="258" t="s">
        <v>89</v>
      </c>
      <c r="H298" s="259">
        <v>0</v>
      </c>
      <c r="I298" s="251" t="s">
        <v>672</v>
      </c>
      <c r="J298" s="251" t="s">
        <v>673</v>
      </c>
      <c r="K298" s="255" t="s">
        <v>674</v>
      </c>
    </row>
    <row r="299" spans="1:17" ht="12.75" customHeight="1" x14ac:dyDescent="0.2">
      <c r="A299" s="249">
        <v>38781</v>
      </c>
      <c r="B299" s="250" t="s">
        <v>2034</v>
      </c>
      <c r="C299" s="264" t="s">
        <v>2035</v>
      </c>
      <c r="D299" s="257" t="s">
        <v>379</v>
      </c>
      <c r="E299" s="257" t="s">
        <v>2374</v>
      </c>
      <c r="F299" s="252" t="s">
        <v>43</v>
      </c>
      <c r="G299" s="284" t="s">
        <v>360</v>
      </c>
      <c r="H299" s="285" t="s">
        <v>104</v>
      </c>
      <c r="I299" s="257" t="s">
        <v>672</v>
      </c>
      <c r="J299" s="257" t="s">
        <v>673</v>
      </c>
      <c r="K299" s="255" t="s">
        <v>674</v>
      </c>
      <c r="L299" s="281"/>
      <c r="M299" s="281"/>
      <c r="N299" s="281"/>
      <c r="Q299" s="283"/>
    </row>
    <row r="300" spans="1:17" ht="12.75" customHeight="1" x14ac:dyDescent="0.2">
      <c r="A300" s="249">
        <v>7860</v>
      </c>
      <c r="B300" s="250" t="s">
        <v>2137</v>
      </c>
      <c r="C300" s="251" t="s">
        <v>675</v>
      </c>
      <c r="D300" s="251" t="s">
        <v>676</v>
      </c>
      <c r="E300" s="251"/>
      <c r="F300" s="252" t="s">
        <v>49</v>
      </c>
      <c r="G300" s="284" t="s">
        <v>50</v>
      </c>
      <c r="H300" s="285" t="s">
        <v>180</v>
      </c>
      <c r="I300" s="251" t="s">
        <v>680</v>
      </c>
      <c r="J300" s="251" t="s">
        <v>677</v>
      </c>
      <c r="K300" s="255" t="s">
        <v>678</v>
      </c>
      <c r="L300" s="281"/>
      <c r="M300" s="281"/>
      <c r="N300" s="281"/>
      <c r="Q300" s="283"/>
    </row>
    <row r="301" spans="1:17" ht="12.75" customHeight="1" x14ac:dyDescent="0.2">
      <c r="A301" s="249">
        <v>12248</v>
      </c>
      <c r="B301" s="250">
        <v>9042187</v>
      </c>
      <c r="C301" s="251" t="s">
        <v>679</v>
      </c>
      <c r="D301" s="251" t="s">
        <v>529</v>
      </c>
      <c r="E301" s="251"/>
      <c r="F301" s="252" t="s">
        <v>43</v>
      </c>
      <c r="G301" s="284" t="s">
        <v>44</v>
      </c>
      <c r="H301" s="285" t="s">
        <v>66</v>
      </c>
      <c r="I301" s="251" t="s">
        <v>680</v>
      </c>
      <c r="J301" s="251" t="s">
        <v>677</v>
      </c>
      <c r="K301" s="255" t="s">
        <v>678</v>
      </c>
      <c r="L301" s="281"/>
      <c r="M301" s="281"/>
      <c r="N301" s="281"/>
      <c r="Q301" s="283"/>
    </row>
    <row r="302" spans="1:17" ht="12.75" customHeight="1" x14ac:dyDescent="0.2">
      <c r="A302" s="249">
        <v>25387</v>
      </c>
      <c r="B302" s="250" t="s">
        <v>681</v>
      </c>
      <c r="C302" s="251" t="s">
        <v>682</v>
      </c>
      <c r="D302" s="251" t="s">
        <v>481</v>
      </c>
      <c r="E302" s="251"/>
      <c r="F302" s="252" t="s">
        <v>43</v>
      </c>
      <c r="G302" s="284" t="s">
        <v>67</v>
      </c>
      <c r="H302" s="285" t="s">
        <v>180</v>
      </c>
      <c r="I302" s="251" t="s">
        <v>680</v>
      </c>
      <c r="J302" s="251" t="s">
        <v>677</v>
      </c>
      <c r="K302" s="255" t="s">
        <v>678</v>
      </c>
      <c r="L302" s="281"/>
      <c r="M302" s="281"/>
      <c r="N302" s="281"/>
      <c r="Q302" s="283"/>
    </row>
    <row r="303" spans="1:17" ht="12.75" customHeight="1" x14ac:dyDescent="0.2">
      <c r="A303" s="249">
        <v>7967</v>
      </c>
      <c r="B303" s="250" t="s">
        <v>233</v>
      </c>
      <c r="C303" s="251" t="s">
        <v>234</v>
      </c>
      <c r="D303" s="251" t="s">
        <v>235</v>
      </c>
      <c r="E303" s="251"/>
      <c r="F303" s="252" t="s">
        <v>43</v>
      </c>
      <c r="G303" s="284" t="s">
        <v>58</v>
      </c>
      <c r="H303" s="285" t="s">
        <v>45</v>
      </c>
      <c r="I303" s="251" t="s">
        <v>680</v>
      </c>
      <c r="J303" s="251" t="s">
        <v>677</v>
      </c>
      <c r="K303" s="255" t="s">
        <v>678</v>
      </c>
      <c r="L303" s="281"/>
      <c r="M303" s="281"/>
      <c r="N303" s="281"/>
      <c r="Q303" s="283"/>
    </row>
    <row r="304" spans="1:17" ht="12.75" customHeight="1" x14ac:dyDescent="0.2">
      <c r="A304" s="249">
        <v>7193</v>
      </c>
      <c r="B304" s="250" t="s">
        <v>2307</v>
      </c>
      <c r="C304" s="251" t="s">
        <v>683</v>
      </c>
      <c r="D304" s="251" t="s">
        <v>684</v>
      </c>
      <c r="E304" s="251"/>
      <c r="F304" s="252" t="s">
        <v>43</v>
      </c>
      <c r="G304" s="284" t="s">
        <v>52</v>
      </c>
      <c r="H304" s="285" t="s">
        <v>66</v>
      </c>
      <c r="I304" s="251" t="s">
        <v>680</v>
      </c>
      <c r="J304" s="251" t="s">
        <v>677</v>
      </c>
      <c r="K304" s="255" t="s">
        <v>678</v>
      </c>
    </row>
    <row r="305" spans="1:17" ht="12.75" customHeight="1" x14ac:dyDescent="0.2">
      <c r="A305" s="249">
        <v>7747</v>
      </c>
      <c r="B305" s="250" t="s">
        <v>241</v>
      </c>
      <c r="C305" s="251" t="s">
        <v>240</v>
      </c>
      <c r="D305" s="251" t="s">
        <v>120</v>
      </c>
      <c r="E305" s="251"/>
      <c r="F305" s="252" t="s">
        <v>43</v>
      </c>
      <c r="G305" s="284" t="s">
        <v>67</v>
      </c>
      <c r="H305" s="285" t="s">
        <v>45</v>
      </c>
      <c r="I305" s="251" t="s">
        <v>680</v>
      </c>
      <c r="J305" s="251" t="s">
        <v>677</v>
      </c>
      <c r="K305" s="255" t="s">
        <v>678</v>
      </c>
    </row>
    <row r="306" spans="1:17" ht="12.75" customHeight="1" x14ac:dyDescent="0.2">
      <c r="A306" s="249">
        <v>38543</v>
      </c>
      <c r="B306" s="250" t="s">
        <v>685</v>
      </c>
      <c r="C306" s="251" t="s">
        <v>686</v>
      </c>
      <c r="D306" s="251" t="s">
        <v>687</v>
      </c>
      <c r="E306" s="251"/>
      <c r="F306" s="252" t="s">
        <v>43</v>
      </c>
      <c r="G306" s="284" t="s">
        <v>44</v>
      </c>
      <c r="H306" s="285"/>
      <c r="I306" s="251" t="s">
        <v>680</v>
      </c>
      <c r="J306" s="251" t="s">
        <v>677</v>
      </c>
      <c r="K306" s="255" t="s">
        <v>678</v>
      </c>
      <c r="L306" s="281"/>
      <c r="M306" s="281"/>
      <c r="N306" s="281"/>
      <c r="Q306" s="283"/>
    </row>
    <row r="307" spans="1:17" ht="12.75" customHeight="1" x14ac:dyDescent="0.2">
      <c r="A307" s="249">
        <v>6943</v>
      </c>
      <c r="B307" s="250" t="s">
        <v>1884</v>
      </c>
      <c r="C307" s="251" t="s">
        <v>1885</v>
      </c>
      <c r="D307" s="251" t="s">
        <v>179</v>
      </c>
      <c r="E307" s="251"/>
      <c r="F307" s="252" t="s">
        <v>43</v>
      </c>
      <c r="G307" s="284" t="s">
        <v>44</v>
      </c>
      <c r="H307" s="285" t="s">
        <v>51</v>
      </c>
      <c r="I307" s="251" t="s">
        <v>680</v>
      </c>
      <c r="J307" s="251" t="s">
        <v>677</v>
      </c>
      <c r="K307" s="255" t="s">
        <v>678</v>
      </c>
    </row>
    <row r="308" spans="1:17" ht="12.75" customHeight="1" x14ac:dyDescent="0.2">
      <c r="A308" s="249">
        <v>38735</v>
      </c>
      <c r="B308" s="250" t="s">
        <v>2452</v>
      </c>
      <c r="C308" s="251" t="s">
        <v>1885</v>
      </c>
      <c r="D308" s="251" t="s">
        <v>2453</v>
      </c>
      <c r="E308" s="251"/>
      <c r="F308" s="252" t="s">
        <v>49</v>
      </c>
      <c r="G308" s="258" t="s">
        <v>79</v>
      </c>
      <c r="H308" s="259">
        <v>0</v>
      </c>
      <c r="I308" s="251" t="s">
        <v>680</v>
      </c>
      <c r="J308" s="251" t="s">
        <v>677</v>
      </c>
      <c r="K308" s="255" t="s">
        <v>678</v>
      </c>
    </row>
    <row r="309" spans="1:17" ht="12.75" customHeight="1" x14ac:dyDescent="0.2">
      <c r="A309" s="249">
        <v>38900</v>
      </c>
      <c r="B309" s="250" t="s">
        <v>2394</v>
      </c>
      <c r="C309" s="264" t="s">
        <v>2395</v>
      </c>
      <c r="D309" s="257" t="s">
        <v>132</v>
      </c>
      <c r="E309" s="257" t="s">
        <v>2374</v>
      </c>
      <c r="F309" s="252" t="s">
        <v>43</v>
      </c>
      <c r="G309" s="284" t="s">
        <v>44</v>
      </c>
      <c r="H309" s="285"/>
      <c r="I309" s="257" t="s">
        <v>680</v>
      </c>
      <c r="J309" s="257" t="s">
        <v>677</v>
      </c>
      <c r="K309" s="255" t="s">
        <v>678</v>
      </c>
    </row>
    <row r="310" spans="1:17" ht="12.75" customHeight="1" x14ac:dyDescent="0.2">
      <c r="A310" s="249">
        <v>38901</v>
      </c>
      <c r="B310" s="250" t="s">
        <v>2396</v>
      </c>
      <c r="C310" s="264" t="s">
        <v>883</v>
      </c>
      <c r="D310" s="257" t="s">
        <v>841</v>
      </c>
      <c r="E310" s="257" t="s">
        <v>2374</v>
      </c>
      <c r="F310" s="252" t="s">
        <v>43</v>
      </c>
      <c r="G310" s="284" t="s">
        <v>94</v>
      </c>
      <c r="H310" s="285"/>
      <c r="I310" s="257" t="s">
        <v>680</v>
      </c>
      <c r="J310" s="257" t="s">
        <v>677</v>
      </c>
      <c r="K310" s="255" t="s">
        <v>678</v>
      </c>
    </row>
    <row r="311" spans="1:17" ht="12.75" customHeight="1" x14ac:dyDescent="0.2">
      <c r="A311" s="249">
        <v>16453</v>
      </c>
      <c r="B311" s="250">
        <v>9111158</v>
      </c>
      <c r="C311" s="251" t="s">
        <v>690</v>
      </c>
      <c r="D311" s="251" t="s">
        <v>595</v>
      </c>
      <c r="E311" s="251"/>
      <c r="F311" s="252" t="s">
        <v>43</v>
      </c>
      <c r="G311" s="284" t="s">
        <v>58</v>
      </c>
      <c r="H311" s="285" t="s">
        <v>45</v>
      </c>
      <c r="I311" s="251" t="s">
        <v>680</v>
      </c>
      <c r="J311" s="251" t="s">
        <v>677</v>
      </c>
      <c r="K311" s="255" t="s">
        <v>678</v>
      </c>
    </row>
    <row r="312" spans="1:17" ht="12.75" customHeight="1" x14ac:dyDescent="0.2">
      <c r="A312" s="249">
        <v>7156</v>
      </c>
      <c r="B312" s="250" t="s">
        <v>691</v>
      </c>
      <c r="C312" s="251" t="s">
        <v>692</v>
      </c>
      <c r="D312" s="251" t="s">
        <v>693</v>
      </c>
      <c r="E312" s="251"/>
      <c r="F312" s="252" t="s">
        <v>49</v>
      </c>
      <c r="G312" s="284" t="s">
        <v>79</v>
      </c>
      <c r="H312" s="285"/>
      <c r="I312" s="251" t="s">
        <v>680</v>
      </c>
      <c r="J312" s="251" t="s">
        <v>677</v>
      </c>
      <c r="K312" s="255" t="s">
        <v>678</v>
      </c>
    </row>
    <row r="313" spans="1:17" ht="12.75" customHeight="1" x14ac:dyDescent="0.2">
      <c r="A313" s="249">
        <v>25478</v>
      </c>
      <c r="B313" s="250">
        <v>9065825</v>
      </c>
      <c r="C313" s="251" t="s">
        <v>694</v>
      </c>
      <c r="D313" s="251" t="s">
        <v>453</v>
      </c>
      <c r="E313" s="251"/>
      <c r="F313" s="252" t="s">
        <v>49</v>
      </c>
      <c r="G313" s="284" t="s">
        <v>139</v>
      </c>
      <c r="H313" s="285" t="s">
        <v>51</v>
      </c>
      <c r="I313" s="251" t="s">
        <v>680</v>
      </c>
      <c r="J313" s="251" t="s">
        <v>677</v>
      </c>
      <c r="K313" s="255" t="s">
        <v>678</v>
      </c>
    </row>
    <row r="314" spans="1:17" ht="12.75" customHeight="1" x14ac:dyDescent="0.2">
      <c r="A314" s="249">
        <v>38836</v>
      </c>
      <c r="B314" s="250" t="s">
        <v>2138</v>
      </c>
      <c r="C314" s="264" t="s">
        <v>2139</v>
      </c>
      <c r="D314" s="257" t="s">
        <v>64</v>
      </c>
      <c r="E314" s="257" t="s">
        <v>2374</v>
      </c>
      <c r="F314" s="252" t="s">
        <v>43</v>
      </c>
      <c r="G314" s="284" t="s">
        <v>44</v>
      </c>
      <c r="H314" s="285"/>
      <c r="I314" s="257" t="s">
        <v>680</v>
      </c>
      <c r="J314" s="257" t="s">
        <v>677</v>
      </c>
      <c r="K314" s="255" t="s">
        <v>678</v>
      </c>
      <c r="L314" s="281"/>
      <c r="M314" s="281"/>
      <c r="N314" s="281"/>
      <c r="Q314" s="283"/>
    </row>
    <row r="315" spans="1:17" ht="12.75" customHeight="1" x14ac:dyDescent="0.2">
      <c r="A315" s="249">
        <v>7182</v>
      </c>
      <c r="B315" s="250" t="s">
        <v>695</v>
      </c>
      <c r="C315" s="251" t="s">
        <v>696</v>
      </c>
      <c r="D315" s="251" t="s">
        <v>184</v>
      </c>
      <c r="E315" s="251"/>
      <c r="F315" s="252" t="s">
        <v>43</v>
      </c>
      <c r="G315" s="284" t="s">
        <v>52</v>
      </c>
      <c r="H315" s="285" t="s">
        <v>66</v>
      </c>
      <c r="I315" s="251" t="s">
        <v>680</v>
      </c>
      <c r="J315" s="251" t="s">
        <v>677</v>
      </c>
      <c r="K315" s="255" t="s">
        <v>678</v>
      </c>
      <c r="L315" s="281"/>
      <c r="M315" s="281"/>
      <c r="N315" s="281"/>
      <c r="Q315" s="283"/>
    </row>
    <row r="316" spans="1:17" ht="12.75" customHeight="1" x14ac:dyDescent="0.2">
      <c r="A316" s="249">
        <v>7154</v>
      </c>
      <c r="B316" s="250" t="s">
        <v>697</v>
      </c>
      <c r="C316" s="251" t="s">
        <v>696</v>
      </c>
      <c r="D316" s="251" t="s">
        <v>698</v>
      </c>
      <c r="E316" s="251"/>
      <c r="F316" s="252" t="s">
        <v>49</v>
      </c>
      <c r="G316" s="284" t="s">
        <v>139</v>
      </c>
      <c r="H316" s="285" t="s">
        <v>180</v>
      </c>
      <c r="I316" s="251" t="s">
        <v>680</v>
      </c>
      <c r="J316" s="251" t="s">
        <v>677</v>
      </c>
      <c r="K316" s="255" t="s">
        <v>678</v>
      </c>
      <c r="L316" s="281"/>
      <c r="M316" s="281"/>
      <c r="N316" s="281"/>
      <c r="Q316" s="283"/>
    </row>
    <row r="317" spans="1:17" ht="12.75" customHeight="1" x14ac:dyDescent="0.2">
      <c r="A317" s="249">
        <v>25484</v>
      </c>
      <c r="B317" s="250" t="s">
        <v>699</v>
      </c>
      <c r="C317" s="251" t="s">
        <v>696</v>
      </c>
      <c r="D317" s="251" t="s">
        <v>700</v>
      </c>
      <c r="E317" s="251"/>
      <c r="F317" s="252" t="s">
        <v>43</v>
      </c>
      <c r="G317" s="284" t="s">
        <v>94</v>
      </c>
      <c r="H317" s="285" t="s">
        <v>180</v>
      </c>
      <c r="I317" s="251" t="s">
        <v>680</v>
      </c>
      <c r="J317" s="251" t="s">
        <v>677</v>
      </c>
      <c r="K317" s="255" t="s">
        <v>678</v>
      </c>
    </row>
    <row r="318" spans="1:17" ht="12.75" customHeight="1" x14ac:dyDescent="0.2">
      <c r="A318" s="249">
        <v>38115</v>
      </c>
      <c r="B318" s="250" t="s">
        <v>1178</v>
      </c>
      <c r="C318" s="251" t="s">
        <v>675</v>
      </c>
      <c r="D318" s="251" t="s">
        <v>1179</v>
      </c>
      <c r="E318" s="251"/>
      <c r="F318" s="252" t="s">
        <v>43</v>
      </c>
      <c r="G318" s="284" t="s">
        <v>44</v>
      </c>
      <c r="H318" s="285" t="s">
        <v>66</v>
      </c>
      <c r="I318" s="251" t="s">
        <v>701</v>
      </c>
      <c r="J318" s="251" t="s">
        <v>677</v>
      </c>
      <c r="K318" s="255" t="s">
        <v>678</v>
      </c>
    </row>
    <row r="319" spans="1:17" ht="12.75" customHeight="1" x14ac:dyDescent="0.2">
      <c r="A319" s="249">
        <v>7228</v>
      </c>
      <c r="B319" s="250">
        <v>889755</v>
      </c>
      <c r="C319" s="251" t="s">
        <v>702</v>
      </c>
      <c r="D319" s="251" t="s">
        <v>703</v>
      </c>
      <c r="E319" s="251"/>
      <c r="F319" s="252" t="s">
        <v>43</v>
      </c>
      <c r="G319" s="284" t="s">
        <v>44</v>
      </c>
      <c r="H319" s="285" t="s">
        <v>239</v>
      </c>
      <c r="I319" s="251" t="s">
        <v>701</v>
      </c>
      <c r="J319" s="251" t="s">
        <v>677</v>
      </c>
      <c r="K319" s="255" t="s">
        <v>678</v>
      </c>
    </row>
    <row r="320" spans="1:17" ht="12.75" customHeight="1" x14ac:dyDescent="0.2">
      <c r="A320" s="249">
        <v>7586</v>
      </c>
      <c r="B320" s="250" t="s">
        <v>704</v>
      </c>
      <c r="C320" s="251" t="s">
        <v>705</v>
      </c>
      <c r="D320" s="251" t="s">
        <v>639</v>
      </c>
      <c r="E320" s="251"/>
      <c r="F320" s="252" t="s">
        <v>43</v>
      </c>
      <c r="G320" s="284" t="s">
        <v>52</v>
      </c>
      <c r="H320" s="285" t="s">
        <v>45</v>
      </c>
      <c r="I320" s="251" t="s">
        <v>701</v>
      </c>
      <c r="J320" s="251" t="s">
        <v>677</v>
      </c>
      <c r="K320" s="255" t="s">
        <v>678</v>
      </c>
    </row>
    <row r="321" spans="1:17" ht="12.75" customHeight="1" x14ac:dyDescent="0.2">
      <c r="A321" s="249">
        <v>9936</v>
      </c>
      <c r="B321" s="250">
        <v>83471</v>
      </c>
      <c r="C321" s="251" t="s">
        <v>131</v>
      </c>
      <c r="D321" s="251" t="s">
        <v>2140</v>
      </c>
      <c r="E321" s="251"/>
      <c r="F321" s="252" t="s">
        <v>43</v>
      </c>
      <c r="G321" s="284" t="s">
        <v>94</v>
      </c>
      <c r="H321" s="285" t="s">
        <v>66</v>
      </c>
      <c r="I321" s="251" t="s">
        <v>701</v>
      </c>
      <c r="J321" s="251" t="s">
        <v>677</v>
      </c>
      <c r="K321" s="255" t="s">
        <v>678</v>
      </c>
    </row>
    <row r="322" spans="1:17" ht="12.75" customHeight="1" x14ac:dyDescent="0.2">
      <c r="A322" s="249">
        <v>7135</v>
      </c>
      <c r="B322" s="250" t="s">
        <v>706</v>
      </c>
      <c r="C322" s="251" t="s">
        <v>455</v>
      </c>
      <c r="D322" s="251" t="s">
        <v>707</v>
      </c>
      <c r="E322" s="251"/>
      <c r="F322" s="252" t="s">
        <v>43</v>
      </c>
      <c r="G322" s="284" t="s">
        <v>52</v>
      </c>
      <c r="H322" s="285" t="s">
        <v>45</v>
      </c>
      <c r="I322" s="251" t="s">
        <v>701</v>
      </c>
      <c r="J322" s="251" t="s">
        <v>677</v>
      </c>
      <c r="K322" s="255" t="s">
        <v>678</v>
      </c>
    </row>
    <row r="323" spans="1:17" ht="12.75" customHeight="1" x14ac:dyDescent="0.2">
      <c r="A323" s="249">
        <v>38275</v>
      </c>
      <c r="B323" s="250" t="s">
        <v>708</v>
      </c>
      <c r="C323" s="264" t="s">
        <v>455</v>
      </c>
      <c r="D323" s="257" t="s">
        <v>132</v>
      </c>
      <c r="E323" s="257" t="s">
        <v>2374</v>
      </c>
      <c r="F323" s="252" t="s">
        <v>43</v>
      </c>
      <c r="G323" s="284" t="s">
        <v>94</v>
      </c>
      <c r="H323" s="285" t="s">
        <v>66</v>
      </c>
      <c r="I323" s="257" t="s">
        <v>701</v>
      </c>
      <c r="J323" s="257" t="s">
        <v>677</v>
      </c>
      <c r="K323" s="255" t="s">
        <v>678</v>
      </c>
    </row>
    <row r="324" spans="1:17" ht="12.75" customHeight="1" x14ac:dyDescent="0.2">
      <c r="A324" s="249">
        <v>38366</v>
      </c>
      <c r="B324" s="250" t="s">
        <v>709</v>
      </c>
      <c r="C324" s="264" t="s">
        <v>710</v>
      </c>
      <c r="D324" s="257" t="s">
        <v>711</v>
      </c>
      <c r="E324" s="257" t="s">
        <v>2374</v>
      </c>
      <c r="F324" s="252" t="s">
        <v>43</v>
      </c>
      <c r="G324" s="284" t="s">
        <v>44</v>
      </c>
      <c r="H324" s="285" t="s">
        <v>180</v>
      </c>
      <c r="I324" s="257" t="s">
        <v>701</v>
      </c>
      <c r="J324" s="257" t="s">
        <v>677</v>
      </c>
      <c r="K324" s="255" t="s">
        <v>678</v>
      </c>
    </row>
    <row r="325" spans="1:17" ht="12.75" customHeight="1" x14ac:dyDescent="0.2">
      <c r="A325" s="249">
        <v>38367</v>
      </c>
      <c r="B325" s="250" t="s">
        <v>712</v>
      </c>
      <c r="C325" s="251" t="s">
        <v>713</v>
      </c>
      <c r="D325" s="251" t="s">
        <v>132</v>
      </c>
      <c r="E325" s="251"/>
      <c r="F325" s="252" t="s">
        <v>43</v>
      </c>
      <c r="G325" s="284" t="s">
        <v>44</v>
      </c>
      <c r="H325" s="285" t="s">
        <v>66</v>
      </c>
      <c r="I325" s="251" t="s">
        <v>701</v>
      </c>
      <c r="J325" s="251" t="s">
        <v>677</v>
      </c>
      <c r="K325" s="255" t="s">
        <v>678</v>
      </c>
    </row>
    <row r="326" spans="1:17" ht="12.75" customHeight="1" x14ac:dyDescent="0.2">
      <c r="A326" s="249">
        <v>38152</v>
      </c>
      <c r="B326" s="250" t="s">
        <v>714</v>
      </c>
      <c r="C326" s="251" t="s">
        <v>715</v>
      </c>
      <c r="D326" s="251" t="s">
        <v>656</v>
      </c>
      <c r="E326" s="251"/>
      <c r="F326" s="252" t="s">
        <v>43</v>
      </c>
      <c r="G326" s="284" t="s">
        <v>67</v>
      </c>
      <c r="H326" s="285"/>
      <c r="I326" s="251" t="s">
        <v>701</v>
      </c>
      <c r="J326" s="251" t="s">
        <v>677</v>
      </c>
      <c r="K326" s="255" t="s">
        <v>678</v>
      </c>
      <c r="L326" s="281"/>
      <c r="M326" s="281"/>
      <c r="N326" s="281"/>
      <c r="Q326" s="283"/>
    </row>
    <row r="327" spans="1:17" ht="12.75" customHeight="1" x14ac:dyDescent="0.2">
      <c r="A327" s="249">
        <v>25085</v>
      </c>
      <c r="B327" s="250" t="s">
        <v>716</v>
      </c>
      <c r="C327" s="251" t="s">
        <v>717</v>
      </c>
      <c r="D327" s="251" t="s">
        <v>195</v>
      </c>
      <c r="E327" s="251"/>
      <c r="F327" s="252" t="s">
        <v>43</v>
      </c>
      <c r="G327" s="284" t="s">
        <v>44</v>
      </c>
      <c r="H327" s="285"/>
      <c r="I327" s="251" t="s">
        <v>701</v>
      </c>
      <c r="J327" s="251" t="s">
        <v>677</v>
      </c>
      <c r="K327" s="255" t="s">
        <v>678</v>
      </c>
      <c r="L327" s="281"/>
      <c r="M327" s="281"/>
      <c r="N327" s="281"/>
      <c r="Q327" s="283"/>
    </row>
    <row r="328" spans="1:17" ht="12.75" customHeight="1" x14ac:dyDescent="0.2">
      <c r="A328" s="249">
        <v>25007</v>
      </c>
      <c r="B328" s="250" t="s">
        <v>718</v>
      </c>
      <c r="C328" s="251" t="s">
        <v>719</v>
      </c>
      <c r="D328" s="251" t="s">
        <v>720</v>
      </c>
      <c r="E328" s="251"/>
      <c r="F328" s="252" t="s">
        <v>49</v>
      </c>
      <c r="G328" s="284" t="s">
        <v>79</v>
      </c>
      <c r="H328" s="285"/>
      <c r="I328" s="251" t="s">
        <v>701</v>
      </c>
      <c r="J328" s="251" t="s">
        <v>677</v>
      </c>
      <c r="K328" s="255" t="s">
        <v>678</v>
      </c>
      <c r="L328" s="281"/>
      <c r="M328" s="281"/>
      <c r="N328" s="281"/>
      <c r="Q328" s="283"/>
    </row>
    <row r="329" spans="1:17" ht="12.75" customHeight="1" x14ac:dyDescent="0.2">
      <c r="A329" s="249">
        <v>38661</v>
      </c>
      <c r="B329" s="250" t="s">
        <v>721</v>
      </c>
      <c r="C329" s="264" t="s">
        <v>722</v>
      </c>
      <c r="D329" s="257" t="s">
        <v>117</v>
      </c>
      <c r="E329" s="257" t="s">
        <v>2374</v>
      </c>
      <c r="F329" s="252" t="s">
        <v>43</v>
      </c>
      <c r="G329" s="284" t="s">
        <v>52</v>
      </c>
      <c r="H329" s="285"/>
      <c r="I329" s="257" t="s">
        <v>701</v>
      </c>
      <c r="J329" s="257" t="s">
        <v>677</v>
      </c>
      <c r="K329" s="255" t="s">
        <v>678</v>
      </c>
      <c r="L329" s="281"/>
      <c r="M329" s="281"/>
      <c r="N329" s="281"/>
      <c r="Q329" s="283"/>
    </row>
    <row r="330" spans="1:17" ht="12.75" customHeight="1" x14ac:dyDescent="0.2">
      <c r="A330" s="249">
        <v>34393</v>
      </c>
      <c r="B330" s="250" t="s">
        <v>398</v>
      </c>
      <c r="C330" s="251" t="s">
        <v>399</v>
      </c>
      <c r="D330" s="251" t="s">
        <v>400</v>
      </c>
      <c r="E330" s="251"/>
      <c r="F330" s="252" t="s">
        <v>49</v>
      </c>
      <c r="G330" s="284" t="s">
        <v>79</v>
      </c>
      <c r="H330" s="285" t="s">
        <v>51</v>
      </c>
      <c r="I330" s="251" t="s">
        <v>701</v>
      </c>
      <c r="J330" s="251" t="s">
        <v>677</v>
      </c>
      <c r="K330" s="255" t="s">
        <v>678</v>
      </c>
    </row>
    <row r="331" spans="1:17" ht="12.75" customHeight="1" x14ac:dyDescent="0.2">
      <c r="A331" s="249">
        <v>38507</v>
      </c>
      <c r="B331" s="250" t="s">
        <v>723</v>
      </c>
      <c r="C331" s="264" t="s">
        <v>724</v>
      </c>
      <c r="D331" s="257" t="s">
        <v>725</v>
      </c>
      <c r="E331" s="257" t="s">
        <v>2374</v>
      </c>
      <c r="F331" s="252" t="s">
        <v>43</v>
      </c>
      <c r="G331" s="284" t="s">
        <v>52</v>
      </c>
      <c r="H331" s="285" t="s">
        <v>51</v>
      </c>
      <c r="I331" s="257" t="s">
        <v>701</v>
      </c>
      <c r="J331" s="257" t="s">
        <v>677</v>
      </c>
      <c r="K331" s="255" t="s">
        <v>678</v>
      </c>
      <c r="L331" s="281"/>
      <c r="M331" s="281"/>
      <c r="N331" s="281"/>
      <c r="Q331" s="283"/>
    </row>
    <row r="332" spans="1:17" ht="12.75" customHeight="1" x14ac:dyDescent="0.2">
      <c r="A332" s="249">
        <v>7123</v>
      </c>
      <c r="B332" s="250" t="s">
        <v>726</v>
      </c>
      <c r="C332" s="251" t="s">
        <v>727</v>
      </c>
      <c r="D332" s="251" t="s">
        <v>97</v>
      </c>
      <c r="E332" s="251"/>
      <c r="F332" s="252" t="s">
        <v>43</v>
      </c>
      <c r="G332" s="284" t="s">
        <v>52</v>
      </c>
      <c r="H332" s="285" t="s">
        <v>51</v>
      </c>
      <c r="I332" s="251" t="s">
        <v>701</v>
      </c>
      <c r="J332" s="251" t="s">
        <v>677</v>
      </c>
      <c r="K332" s="255" t="s">
        <v>678</v>
      </c>
    </row>
    <row r="333" spans="1:17" ht="12.75" customHeight="1" x14ac:dyDescent="0.2">
      <c r="A333" s="249">
        <v>7136</v>
      </c>
      <c r="B333" s="250" t="s">
        <v>728</v>
      </c>
      <c r="C333" s="251" t="s">
        <v>729</v>
      </c>
      <c r="D333" s="251" t="s">
        <v>730</v>
      </c>
      <c r="E333" s="251"/>
      <c r="F333" s="252" t="s">
        <v>43</v>
      </c>
      <c r="G333" s="284" t="s">
        <v>67</v>
      </c>
      <c r="H333" s="285" t="s">
        <v>45</v>
      </c>
      <c r="I333" s="251" t="s">
        <v>701</v>
      </c>
      <c r="J333" s="251" t="s">
        <v>677</v>
      </c>
      <c r="K333" s="255" t="s">
        <v>678</v>
      </c>
      <c r="L333" s="281"/>
      <c r="M333" s="281"/>
      <c r="N333" s="281"/>
      <c r="Q333" s="283"/>
    </row>
    <row r="334" spans="1:17" ht="12.75" customHeight="1" x14ac:dyDescent="0.2">
      <c r="A334" s="249">
        <v>38823</v>
      </c>
      <c r="B334" s="250" t="s">
        <v>2141</v>
      </c>
      <c r="C334" s="251" t="s">
        <v>2142</v>
      </c>
      <c r="D334" s="251" t="s">
        <v>61</v>
      </c>
      <c r="E334" s="251"/>
      <c r="F334" s="252" t="s">
        <v>43</v>
      </c>
      <c r="G334" s="284" t="s">
        <v>67</v>
      </c>
      <c r="H334" s="285" t="s">
        <v>45</v>
      </c>
      <c r="I334" s="251" t="s">
        <v>701</v>
      </c>
      <c r="J334" s="251" t="s">
        <v>677</v>
      </c>
      <c r="K334" s="255" t="s">
        <v>678</v>
      </c>
      <c r="L334" s="281"/>
      <c r="M334" s="281"/>
      <c r="N334" s="281"/>
      <c r="Q334" s="283"/>
    </row>
    <row r="335" spans="1:17" ht="12.75" customHeight="1" x14ac:dyDescent="0.2">
      <c r="A335" s="249">
        <v>25479</v>
      </c>
      <c r="B335" s="250" t="s">
        <v>2397</v>
      </c>
      <c r="C335" s="251" t="s">
        <v>694</v>
      </c>
      <c r="D335" s="251" t="s">
        <v>125</v>
      </c>
      <c r="E335" s="251"/>
      <c r="F335" s="252" t="s">
        <v>43</v>
      </c>
      <c r="G335" s="284" t="s">
        <v>67</v>
      </c>
      <c r="H335" s="285" t="s">
        <v>45</v>
      </c>
      <c r="I335" s="251" t="s">
        <v>701</v>
      </c>
      <c r="J335" s="251" t="s">
        <v>677</v>
      </c>
      <c r="K335" s="255" t="s">
        <v>678</v>
      </c>
    </row>
    <row r="336" spans="1:17" ht="12.75" customHeight="1" x14ac:dyDescent="0.2">
      <c r="A336" s="249">
        <v>7128</v>
      </c>
      <c r="B336" s="250" t="s">
        <v>731</v>
      </c>
      <c r="C336" s="251" t="s">
        <v>732</v>
      </c>
      <c r="D336" s="251" t="s">
        <v>622</v>
      </c>
      <c r="E336" s="251"/>
      <c r="F336" s="252" t="s">
        <v>43</v>
      </c>
      <c r="G336" s="284" t="s">
        <v>67</v>
      </c>
      <c r="H336" s="285" t="s">
        <v>45</v>
      </c>
      <c r="I336" s="251" t="s">
        <v>701</v>
      </c>
      <c r="J336" s="251" t="s">
        <v>677</v>
      </c>
      <c r="K336" s="255" t="s">
        <v>678</v>
      </c>
    </row>
    <row r="337" spans="1:11" ht="12.75" customHeight="1" x14ac:dyDescent="0.2">
      <c r="A337" s="249">
        <v>38509</v>
      </c>
      <c r="B337" s="250" t="s">
        <v>733</v>
      </c>
      <c r="C337" s="264" t="s">
        <v>734</v>
      </c>
      <c r="D337" s="257" t="s">
        <v>735</v>
      </c>
      <c r="E337" s="257" t="s">
        <v>2374</v>
      </c>
      <c r="F337" s="252" t="s">
        <v>43</v>
      </c>
      <c r="G337" s="284" t="s">
        <v>67</v>
      </c>
      <c r="H337" s="285" t="s">
        <v>51</v>
      </c>
      <c r="I337" s="257" t="s">
        <v>701</v>
      </c>
      <c r="J337" s="257" t="s">
        <v>677</v>
      </c>
      <c r="K337" s="255" t="s">
        <v>678</v>
      </c>
    </row>
    <row r="338" spans="1:11" ht="12.75" customHeight="1" x14ac:dyDescent="0.2">
      <c r="A338" s="249">
        <v>38760</v>
      </c>
      <c r="B338" s="250" t="s">
        <v>1969</v>
      </c>
      <c r="C338" s="264" t="s">
        <v>1970</v>
      </c>
      <c r="D338" s="257" t="s">
        <v>1971</v>
      </c>
      <c r="E338" s="257" t="s">
        <v>2374</v>
      </c>
      <c r="F338" s="252" t="s">
        <v>49</v>
      </c>
      <c r="G338" s="284" t="s">
        <v>773</v>
      </c>
      <c r="H338" s="285" t="s">
        <v>51</v>
      </c>
      <c r="I338" s="257" t="s">
        <v>739</v>
      </c>
      <c r="J338" s="257" t="s">
        <v>740</v>
      </c>
      <c r="K338" s="255" t="s">
        <v>741</v>
      </c>
    </row>
    <row r="339" spans="1:11" ht="12.75" customHeight="1" x14ac:dyDescent="0.2">
      <c r="A339" s="249">
        <v>38575</v>
      </c>
      <c r="B339" s="250" t="s">
        <v>736</v>
      </c>
      <c r="C339" s="264" t="s">
        <v>737</v>
      </c>
      <c r="D339" s="257" t="s">
        <v>738</v>
      </c>
      <c r="E339" s="257" t="s">
        <v>2374</v>
      </c>
      <c r="F339" s="252" t="s">
        <v>43</v>
      </c>
      <c r="G339" s="284" t="s">
        <v>44</v>
      </c>
      <c r="H339" s="285" t="s">
        <v>66</v>
      </c>
      <c r="I339" s="257" t="s">
        <v>739</v>
      </c>
      <c r="J339" s="257" t="s">
        <v>740</v>
      </c>
      <c r="K339" s="255" t="s">
        <v>741</v>
      </c>
    </row>
    <row r="340" spans="1:11" ht="12.75" customHeight="1" x14ac:dyDescent="0.2">
      <c r="A340" s="249">
        <v>25298</v>
      </c>
      <c r="B340" s="250" t="s">
        <v>742</v>
      </c>
      <c r="C340" s="251" t="s">
        <v>743</v>
      </c>
      <c r="D340" s="251" t="s">
        <v>744</v>
      </c>
      <c r="E340" s="251"/>
      <c r="F340" s="252" t="s">
        <v>49</v>
      </c>
      <c r="G340" s="284" t="s">
        <v>79</v>
      </c>
      <c r="H340" s="285" t="s">
        <v>66</v>
      </c>
      <c r="I340" s="251" t="s">
        <v>739</v>
      </c>
      <c r="J340" s="251" t="s">
        <v>740</v>
      </c>
      <c r="K340" s="255" t="s">
        <v>741</v>
      </c>
    </row>
    <row r="341" spans="1:11" ht="12.75" customHeight="1" x14ac:dyDescent="0.2">
      <c r="A341" s="249">
        <v>16888</v>
      </c>
      <c r="B341" s="250" t="s">
        <v>745</v>
      </c>
      <c r="C341" s="257" t="s">
        <v>743</v>
      </c>
      <c r="D341" s="257" t="s">
        <v>143</v>
      </c>
      <c r="E341" s="257" t="s">
        <v>2374</v>
      </c>
      <c r="F341" s="252" t="s">
        <v>43</v>
      </c>
      <c r="G341" s="284" t="s">
        <v>44</v>
      </c>
      <c r="H341" s="285" t="s">
        <v>180</v>
      </c>
      <c r="I341" s="251" t="s">
        <v>739</v>
      </c>
      <c r="J341" s="251" t="s">
        <v>740</v>
      </c>
      <c r="K341" s="255" t="s">
        <v>741</v>
      </c>
    </row>
    <row r="342" spans="1:11" ht="12.75" customHeight="1" x14ac:dyDescent="0.2">
      <c r="A342" s="249">
        <v>25323</v>
      </c>
      <c r="B342" s="250" t="s">
        <v>748</v>
      </c>
      <c r="C342" s="251" t="s">
        <v>749</v>
      </c>
      <c r="D342" s="251" t="s">
        <v>750</v>
      </c>
      <c r="E342" s="251"/>
      <c r="F342" s="252" t="s">
        <v>49</v>
      </c>
      <c r="G342" s="253" t="s">
        <v>79</v>
      </c>
      <c r="H342" s="254">
        <v>0</v>
      </c>
      <c r="I342" s="251" t="s">
        <v>739</v>
      </c>
      <c r="J342" s="251" t="s">
        <v>740</v>
      </c>
      <c r="K342" s="255" t="s">
        <v>741</v>
      </c>
    </row>
    <row r="343" spans="1:11" ht="12.75" customHeight="1" x14ac:dyDescent="0.2">
      <c r="A343" s="249">
        <v>38912</v>
      </c>
      <c r="B343" s="250" t="s">
        <v>2454</v>
      </c>
      <c r="C343" s="264" t="s">
        <v>1907</v>
      </c>
      <c r="D343" s="257" t="s">
        <v>2455</v>
      </c>
      <c r="E343" s="257" t="s">
        <v>2374</v>
      </c>
      <c r="F343" s="252" t="s">
        <v>43</v>
      </c>
      <c r="G343" s="253" t="s">
        <v>44</v>
      </c>
      <c r="H343" s="254">
        <v>0</v>
      </c>
      <c r="I343" s="257" t="s">
        <v>739</v>
      </c>
      <c r="J343" s="257" t="s">
        <v>740</v>
      </c>
      <c r="K343" s="255" t="s">
        <v>741</v>
      </c>
    </row>
    <row r="344" spans="1:11" ht="12.75" customHeight="1" x14ac:dyDescent="0.2">
      <c r="A344" s="249">
        <v>38809</v>
      </c>
      <c r="B344" s="250" t="s">
        <v>2143</v>
      </c>
      <c r="C344" s="264" t="s">
        <v>1907</v>
      </c>
      <c r="D344" s="257" t="s">
        <v>88</v>
      </c>
      <c r="E344" s="257" t="s">
        <v>2374</v>
      </c>
      <c r="F344" s="252" t="s">
        <v>43</v>
      </c>
      <c r="G344" s="284" t="s">
        <v>89</v>
      </c>
      <c r="H344" s="285" t="s">
        <v>104</v>
      </c>
      <c r="I344" s="257" t="s">
        <v>739</v>
      </c>
      <c r="J344" s="257" t="s">
        <v>740</v>
      </c>
      <c r="K344" s="255" t="s">
        <v>741</v>
      </c>
    </row>
    <row r="345" spans="1:11" ht="12.75" customHeight="1" x14ac:dyDescent="0.2">
      <c r="A345" s="249">
        <v>38725</v>
      </c>
      <c r="B345" s="250" t="s">
        <v>1886</v>
      </c>
      <c r="C345" s="264" t="s">
        <v>1887</v>
      </c>
      <c r="D345" s="257" t="s">
        <v>1421</v>
      </c>
      <c r="E345" s="257" t="s">
        <v>2374</v>
      </c>
      <c r="F345" s="252" t="s">
        <v>49</v>
      </c>
      <c r="G345" s="284" t="s">
        <v>79</v>
      </c>
      <c r="H345" s="285" t="s">
        <v>104</v>
      </c>
      <c r="I345" s="257" t="s">
        <v>739</v>
      </c>
      <c r="J345" s="257" t="s">
        <v>740</v>
      </c>
      <c r="K345" s="255" t="s">
        <v>741</v>
      </c>
    </row>
    <row r="346" spans="1:11" ht="12.75" customHeight="1" x14ac:dyDescent="0.2">
      <c r="A346" s="249">
        <v>38850</v>
      </c>
      <c r="B346" s="250" t="s">
        <v>2275</v>
      </c>
      <c r="C346" s="264" t="s">
        <v>2276</v>
      </c>
      <c r="D346" s="257" t="s">
        <v>1210</v>
      </c>
      <c r="E346" s="257" t="s">
        <v>2374</v>
      </c>
      <c r="F346" s="252" t="s">
        <v>43</v>
      </c>
      <c r="G346" s="284" t="s">
        <v>67</v>
      </c>
      <c r="H346" s="285"/>
      <c r="I346" s="257" t="s">
        <v>739</v>
      </c>
      <c r="J346" s="257" t="s">
        <v>740</v>
      </c>
      <c r="K346" s="255" t="s">
        <v>741</v>
      </c>
    </row>
    <row r="347" spans="1:11" ht="12.75" customHeight="1" x14ac:dyDescent="0.2">
      <c r="A347" s="249">
        <v>16889</v>
      </c>
      <c r="B347" s="250" t="s">
        <v>751</v>
      </c>
      <c r="C347" s="257" t="s">
        <v>752</v>
      </c>
      <c r="D347" s="257" t="s">
        <v>61</v>
      </c>
      <c r="E347" s="257" t="s">
        <v>2374</v>
      </c>
      <c r="F347" s="252" t="s">
        <v>43</v>
      </c>
      <c r="G347" s="284" t="s">
        <v>44</v>
      </c>
      <c r="H347" s="285" t="s">
        <v>66</v>
      </c>
      <c r="I347" s="251" t="s">
        <v>739</v>
      </c>
      <c r="J347" s="251" t="s">
        <v>740</v>
      </c>
      <c r="K347" s="255" t="s">
        <v>741</v>
      </c>
    </row>
    <row r="348" spans="1:11" ht="12.75" customHeight="1" x14ac:dyDescent="0.2">
      <c r="A348" s="249">
        <v>25630</v>
      </c>
      <c r="B348" s="250" t="s">
        <v>1279</v>
      </c>
      <c r="C348" s="251" t="s">
        <v>1214</v>
      </c>
      <c r="D348" s="251" t="s">
        <v>1280</v>
      </c>
      <c r="E348" s="251"/>
      <c r="F348" s="252" t="s">
        <v>49</v>
      </c>
      <c r="G348" s="284" t="s">
        <v>139</v>
      </c>
      <c r="H348" s="285" t="s">
        <v>66</v>
      </c>
      <c r="I348" s="251" t="s">
        <v>739</v>
      </c>
      <c r="J348" s="251" t="s">
        <v>740</v>
      </c>
      <c r="K348" s="255" t="s">
        <v>741</v>
      </c>
    </row>
    <row r="349" spans="1:11" ht="12.75" customHeight="1" x14ac:dyDescent="0.2">
      <c r="A349" s="249">
        <v>38812</v>
      </c>
      <c r="B349" s="250" t="s">
        <v>2144</v>
      </c>
      <c r="C349" s="264" t="s">
        <v>2145</v>
      </c>
      <c r="D349" s="257" t="s">
        <v>99</v>
      </c>
      <c r="E349" s="257" t="s">
        <v>2374</v>
      </c>
      <c r="F349" s="252" t="s">
        <v>43</v>
      </c>
      <c r="G349" s="284" t="s">
        <v>58</v>
      </c>
      <c r="H349" s="285" t="s">
        <v>51</v>
      </c>
      <c r="I349" s="257" t="s">
        <v>739</v>
      </c>
      <c r="J349" s="257" t="s">
        <v>740</v>
      </c>
      <c r="K349" s="255" t="s">
        <v>741</v>
      </c>
    </row>
    <row r="350" spans="1:11" ht="12.75" customHeight="1" x14ac:dyDescent="0.2">
      <c r="A350" s="249">
        <v>38811</v>
      </c>
      <c r="B350" s="250" t="s">
        <v>2146</v>
      </c>
      <c r="C350" s="264" t="s">
        <v>2145</v>
      </c>
      <c r="D350" s="257" t="s">
        <v>322</v>
      </c>
      <c r="E350" s="257" t="s">
        <v>2374</v>
      </c>
      <c r="F350" s="252" t="s">
        <v>49</v>
      </c>
      <c r="G350" s="284" t="s">
        <v>228</v>
      </c>
      <c r="H350" s="285"/>
      <c r="I350" s="257" t="s">
        <v>739</v>
      </c>
      <c r="J350" s="257" t="s">
        <v>740</v>
      </c>
      <c r="K350" s="255" t="s">
        <v>741</v>
      </c>
    </row>
    <row r="351" spans="1:11" ht="12.75" customHeight="1" x14ac:dyDescent="0.2">
      <c r="A351" s="249">
        <v>25644</v>
      </c>
      <c r="B351" s="250" t="s">
        <v>754</v>
      </c>
      <c r="C351" s="251" t="s">
        <v>755</v>
      </c>
      <c r="D351" s="251" t="s">
        <v>756</v>
      </c>
      <c r="E351" s="251"/>
      <c r="F351" s="252" t="s">
        <v>49</v>
      </c>
      <c r="G351" s="284" t="s">
        <v>228</v>
      </c>
      <c r="H351" s="285" t="s">
        <v>51</v>
      </c>
      <c r="I351" s="251" t="s">
        <v>739</v>
      </c>
      <c r="J351" s="251" t="s">
        <v>740</v>
      </c>
      <c r="K351" s="255" t="s">
        <v>741</v>
      </c>
    </row>
    <row r="352" spans="1:11" ht="12.75" customHeight="1" x14ac:dyDescent="0.2">
      <c r="A352" s="249">
        <v>25671</v>
      </c>
      <c r="B352" s="250" t="s">
        <v>2036</v>
      </c>
      <c r="C352" s="251" t="s">
        <v>755</v>
      </c>
      <c r="D352" s="251" t="s">
        <v>73</v>
      </c>
      <c r="E352" s="251"/>
      <c r="F352" s="252" t="s">
        <v>43</v>
      </c>
      <c r="G352" s="284" t="s">
        <v>52</v>
      </c>
      <c r="H352" s="285" t="s">
        <v>45</v>
      </c>
      <c r="I352" s="251" t="s">
        <v>739</v>
      </c>
      <c r="J352" s="251" t="s">
        <v>740</v>
      </c>
      <c r="K352" s="255" t="s">
        <v>741</v>
      </c>
    </row>
    <row r="353" spans="1:17" ht="12.75" customHeight="1" x14ac:dyDescent="0.2">
      <c r="A353" s="249">
        <v>16730</v>
      </c>
      <c r="B353" s="250" t="s">
        <v>757</v>
      </c>
      <c r="C353" s="251" t="s">
        <v>758</v>
      </c>
      <c r="D353" s="251" t="s">
        <v>169</v>
      </c>
      <c r="E353" s="251"/>
      <c r="F353" s="252" t="s">
        <v>43</v>
      </c>
      <c r="G353" s="284" t="s">
        <v>52</v>
      </c>
      <c r="H353" s="285" t="s">
        <v>180</v>
      </c>
      <c r="I353" s="251" t="s">
        <v>739</v>
      </c>
      <c r="J353" s="251" t="s">
        <v>740</v>
      </c>
      <c r="K353" s="255" t="s">
        <v>741</v>
      </c>
    </row>
    <row r="354" spans="1:17" ht="12.75" customHeight="1" x14ac:dyDescent="0.2">
      <c r="A354" s="249">
        <v>38092</v>
      </c>
      <c r="B354" s="250" t="s">
        <v>759</v>
      </c>
      <c r="C354" s="251" t="s">
        <v>758</v>
      </c>
      <c r="D354" s="251" t="s">
        <v>129</v>
      </c>
      <c r="E354" s="251"/>
      <c r="F354" s="252" t="s">
        <v>43</v>
      </c>
      <c r="G354" s="284" t="s">
        <v>44</v>
      </c>
      <c r="H354" s="285" t="s">
        <v>66</v>
      </c>
      <c r="I354" s="251" t="s">
        <v>739</v>
      </c>
      <c r="J354" s="251" t="s">
        <v>740</v>
      </c>
      <c r="K354" s="255" t="s">
        <v>741</v>
      </c>
    </row>
    <row r="355" spans="1:17" ht="12.75" customHeight="1" x14ac:dyDescent="0.2">
      <c r="A355" s="249">
        <v>25672</v>
      </c>
      <c r="B355" s="250" t="s">
        <v>2017</v>
      </c>
      <c r="C355" s="251" t="s">
        <v>760</v>
      </c>
      <c r="D355" s="251" t="s">
        <v>143</v>
      </c>
      <c r="E355" s="251"/>
      <c r="F355" s="252" t="s">
        <v>43</v>
      </c>
      <c r="G355" s="284" t="s">
        <v>67</v>
      </c>
      <c r="H355" s="285" t="s">
        <v>45</v>
      </c>
      <c r="I355" s="251" t="s">
        <v>739</v>
      </c>
      <c r="J355" s="251" t="s">
        <v>740</v>
      </c>
      <c r="K355" s="255" t="s">
        <v>741</v>
      </c>
    </row>
    <row r="356" spans="1:17" ht="12.75" customHeight="1" x14ac:dyDescent="0.2">
      <c r="A356" s="249">
        <v>25340</v>
      </c>
      <c r="B356" s="250" t="s">
        <v>761</v>
      </c>
      <c r="C356" s="251" t="s">
        <v>762</v>
      </c>
      <c r="D356" s="251" t="s">
        <v>711</v>
      </c>
      <c r="E356" s="251"/>
      <c r="F356" s="252" t="s">
        <v>43</v>
      </c>
      <c r="G356" s="284" t="s">
        <v>44</v>
      </c>
      <c r="H356" s="285" t="s">
        <v>180</v>
      </c>
      <c r="I356" s="251" t="s">
        <v>739</v>
      </c>
      <c r="J356" s="251" t="s">
        <v>740</v>
      </c>
      <c r="K356" s="255" t="s">
        <v>741</v>
      </c>
    </row>
    <row r="357" spans="1:17" ht="12.75" customHeight="1" x14ac:dyDescent="0.2">
      <c r="A357" s="249">
        <v>38727</v>
      </c>
      <c r="B357" s="250" t="s">
        <v>1888</v>
      </c>
      <c r="C357" s="264" t="s">
        <v>1889</v>
      </c>
      <c r="D357" s="257" t="s">
        <v>1890</v>
      </c>
      <c r="E357" s="257" t="s">
        <v>2374</v>
      </c>
      <c r="F357" s="252" t="s">
        <v>43</v>
      </c>
      <c r="G357" s="284" t="s">
        <v>44</v>
      </c>
      <c r="H357" s="285"/>
      <c r="I357" s="257" t="s">
        <v>739</v>
      </c>
      <c r="J357" s="257" t="s">
        <v>740</v>
      </c>
      <c r="K357" s="255" t="s">
        <v>741</v>
      </c>
    </row>
    <row r="358" spans="1:17" ht="12.75" customHeight="1" x14ac:dyDescent="0.2">
      <c r="A358" s="249">
        <v>38363</v>
      </c>
      <c r="B358" s="250" t="s">
        <v>763</v>
      </c>
      <c r="C358" s="251" t="s">
        <v>764</v>
      </c>
      <c r="D358" s="251" t="s">
        <v>765</v>
      </c>
      <c r="E358" s="251"/>
      <c r="F358" s="252" t="s">
        <v>43</v>
      </c>
      <c r="G358" s="284" t="s">
        <v>44</v>
      </c>
      <c r="H358" s="285"/>
      <c r="I358" s="251" t="s">
        <v>739</v>
      </c>
      <c r="J358" s="251" t="s">
        <v>740</v>
      </c>
      <c r="K358" s="255" t="s">
        <v>741</v>
      </c>
      <c r="L358" s="281"/>
      <c r="M358" s="281"/>
      <c r="N358" s="281"/>
      <c r="Q358" s="283"/>
    </row>
    <row r="359" spans="1:17" ht="12.75" customHeight="1" x14ac:dyDescent="0.2">
      <c r="A359" s="249">
        <v>38925</v>
      </c>
      <c r="B359" s="250" t="s">
        <v>2456</v>
      </c>
      <c r="C359" s="264" t="s">
        <v>2457</v>
      </c>
      <c r="D359" s="257" t="s">
        <v>806</v>
      </c>
      <c r="E359" s="257" t="s">
        <v>2374</v>
      </c>
      <c r="F359" s="252" t="s">
        <v>43</v>
      </c>
      <c r="G359" s="253" t="s">
        <v>2052</v>
      </c>
      <c r="H359" s="254">
        <v>0</v>
      </c>
      <c r="I359" s="257" t="s">
        <v>739</v>
      </c>
      <c r="J359" s="257" t="s">
        <v>740</v>
      </c>
      <c r="K359" s="255" t="s">
        <v>741</v>
      </c>
      <c r="L359" s="281"/>
      <c r="M359" s="281"/>
      <c r="N359" s="281"/>
      <c r="Q359" s="283"/>
    </row>
    <row r="360" spans="1:17" ht="12.75" customHeight="1" x14ac:dyDescent="0.2">
      <c r="A360" s="249">
        <v>38924</v>
      </c>
      <c r="B360" s="250" t="s">
        <v>2458</v>
      </c>
      <c r="C360" s="264" t="s">
        <v>2457</v>
      </c>
      <c r="D360" s="257" t="s">
        <v>2459</v>
      </c>
      <c r="E360" s="257" t="s">
        <v>2374</v>
      </c>
      <c r="F360" s="252" t="s">
        <v>43</v>
      </c>
      <c r="G360" s="253" t="s">
        <v>2052</v>
      </c>
      <c r="H360" s="254">
        <v>0</v>
      </c>
      <c r="I360" s="257" t="s">
        <v>739</v>
      </c>
      <c r="J360" s="257" t="s">
        <v>740</v>
      </c>
      <c r="K360" s="255" t="s">
        <v>741</v>
      </c>
    </row>
    <row r="361" spans="1:17" ht="12.75" customHeight="1" x14ac:dyDescent="0.2">
      <c r="A361" s="249">
        <v>25297</v>
      </c>
      <c r="B361" s="250" t="s">
        <v>768</v>
      </c>
      <c r="C361" s="251" t="s">
        <v>769</v>
      </c>
      <c r="D361" s="251" t="s">
        <v>73</v>
      </c>
      <c r="E361" s="251" t="s">
        <v>770</v>
      </c>
      <c r="F361" s="252" t="s">
        <v>43</v>
      </c>
      <c r="G361" s="284" t="s">
        <v>44</v>
      </c>
      <c r="H361" s="285" t="s">
        <v>180</v>
      </c>
      <c r="I361" s="251" t="s">
        <v>739</v>
      </c>
      <c r="J361" s="251" t="s">
        <v>740</v>
      </c>
      <c r="K361" s="255" t="s">
        <v>741</v>
      </c>
    </row>
    <row r="362" spans="1:17" ht="12.75" customHeight="1" x14ac:dyDescent="0.2">
      <c r="A362" s="249">
        <v>38056</v>
      </c>
      <c r="B362" s="250" t="s">
        <v>771</v>
      </c>
      <c r="C362" s="251" t="s">
        <v>769</v>
      </c>
      <c r="D362" s="251" t="s">
        <v>772</v>
      </c>
      <c r="E362" s="251" t="s">
        <v>770</v>
      </c>
      <c r="F362" s="252" t="s">
        <v>49</v>
      </c>
      <c r="G362" s="284" t="s">
        <v>79</v>
      </c>
      <c r="H362" s="285" t="s">
        <v>51</v>
      </c>
      <c r="I362" s="251" t="s">
        <v>739</v>
      </c>
      <c r="J362" s="251" t="s">
        <v>740</v>
      </c>
      <c r="K362" s="255" t="s">
        <v>741</v>
      </c>
    </row>
    <row r="363" spans="1:17" ht="12.75" customHeight="1" x14ac:dyDescent="0.2">
      <c r="A363" s="249">
        <v>38458</v>
      </c>
      <c r="B363" s="250" t="s">
        <v>774</v>
      </c>
      <c r="C363" s="251" t="s">
        <v>775</v>
      </c>
      <c r="D363" s="251" t="s">
        <v>776</v>
      </c>
      <c r="E363" s="251"/>
      <c r="F363" s="252" t="s">
        <v>49</v>
      </c>
      <c r="G363" s="284" t="s">
        <v>79</v>
      </c>
      <c r="H363" s="285" t="s">
        <v>66</v>
      </c>
      <c r="I363" s="251" t="s">
        <v>739</v>
      </c>
      <c r="J363" s="251" t="s">
        <v>740</v>
      </c>
      <c r="K363" s="255" t="s">
        <v>741</v>
      </c>
    </row>
    <row r="364" spans="1:17" ht="12.75" customHeight="1" x14ac:dyDescent="0.2">
      <c r="A364" s="249">
        <v>38833</v>
      </c>
      <c r="B364" s="250" t="s">
        <v>2147</v>
      </c>
      <c r="C364" s="264" t="s">
        <v>2148</v>
      </c>
      <c r="D364" s="257" t="s">
        <v>125</v>
      </c>
      <c r="E364" s="257" t="s">
        <v>2374</v>
      </c>
      <c r="F364" s="252" t="s">
        <v>43</v>
      </c>
      <c r="G364" s="284" t="s">
        <v>44</v>
      </c>
      <c r="H364" s="285" t="s">
        <v>51</v>
      </c>
      <c r="I364" s="257" t="s">
        <v>739</v>
      </c>
      <c r="J364" s="257" t="s">
        <v>740</v>
      </c>
      <c r="K364" s="255" t="s">
        <v>741</v>
      </c>
    </row>
    <row r="365" spans="1:17" ht="12.75" customHeight="1" x14ac:dyDescent="0.2">
      <c r="A365" s="249">
        <v>25011</v>
      </c>
      <c r="B365" s="250" t="s">
        <v>777</v>
      </c>
      <c r="C365" s="257" t="s">
        <v>778</v>
      </c>
      <c r="D365" s="257" t="s">
        <v>230</v>
      </c>
      <c r="E365" s="257" t="s">
        <v>2374</v>
      </c>
      <c r="F365" s="252" t="s">
        <v>49</v>
      </c>
      <c r="G365" s="253" t="s">
        <v>139</v>
      </c>
      <c r="H365" s="254">
        <v>0</v>
      </c>
      <c r="I365" s="257" t="s">
        <v>739</v>
      </c>
      <c r="J365" s="257" t="s">
        <v>740</v>
      </c>
      <c r="K365" s="255" t="s">
        <v>741</v>
      </c>
    </row>
    <row r="366" spans="1:17" ht="12.75" customHeight="1" x14ac:dyDescent="0.2">
      <c r="A366" s="249">
        <v>38849</v>
      </c>
      <c r="B366" s="250" t="s">
        <v>2277</v>
      </c>
      <c r="C366" s="264" t="s">
        <v>2278</v>
      </c>
      <c r="D366" s="257" t="s">
        <v>2107</v>
      </c>
      <c r="E366" s="257" t="s">
        <v>2374</v>
      </c>
      <c r="F366" s="252" t="s">
        <v>49</v>
      </c>
      <c r="G366" s="284" t="s">
        <v>773</v>
      </c>
      <c r="H366" s="285" t="s">
        <v>104</v>
      </c>
      <c r="I366" s="257" t="s">
        <v>739</v>
      </c>
      <c r="J366" s="257" t="s">
        <v>740</v>
      </c>
      <c r="K366" s="255" t="s">
        <v>741</v>
      </c>
      <c r="L366" s="281"/>
      <c r="M366" s="281"/>
      <c r="N366" s="281"/>
      <c r="Q366" s="283"/>
    </row>
    <row r="367" spans="1:17" ht="12.75" customHeight="1" x14ac:dyDescent="0.2">
      <c r="A367" s="249">
        <v>38848</v>
      </c>
      <c r="B367" s="250" t="s">
        <v>2279</v>
      </c>
      <c r="C367" s="264" t="s">
        <v>2278</v>
      </c>
      <c r="D367" s="257" t="s">
        <v>689</v>
      </c>
      <c r="E367" s="257" t="s">
        <v>2374</v>
      </c>
      <c r="F367" s="252" t="s">
        <v>49</v>
      </c>
      <c r="G367" s="284" t="s">
        <v>773</v>
      </c>
      <c r="H367" s="285" t="s">
        <v>104</v>
      </c>
      <c r="I367" s="257" t="s">
        <v>739</v>
      </c>
      <c r="J367" s="257" t="s">
        <v>740</v>
      </c>
      <c r="K367" s="255" t="s">
        <v>741</v>
      </c>
    </row>
    <row r="368" spans="1:17" ht="12.75" customHeight="1" x14ac:dyDescent="0.2">
      <c r="A368" s="249">
        <v>38814</v>
      </c>
      <c r="B368" s="250" t="s">
        <v>2149</v>
      </c>
      <c r="C368" s="264" t="s">
        <v>1690</v>
      </c>
      <c r="D368" s="257" t="s">
        <v>2150</v>
      </c>
      <c r="E368" s="257" t="s">
        <v>2374</v>
      </c>
      <c r="F368" s="252" t="s">
        <v>43</v>
      </c>
      <c r="G368" s="284" t="s">
        <v>52</v>
      </c>
      <c r="H368" s="285" t="s">
        <v>45</v>
      </c>
      <c r="I368" s="257" t="s">
        <v>739</v>
      </c>
      <c r="J368" s="257" t="s">
        <v>740</v>
      </c>
      <c r="K368" s="255" t="s">
        <v>741</v>
      </c>
    </row>
    <row r="369" spans="1:17" ht="12.75" customHeight="1" x14ac:dyDescent="0.2">
      <c r="A369" s="249">
        <v>38813</v>
      </c>
      <c r="B369" s="250" t="s">
        <v>2151</v>
      </c>
      <c r="C369" s="264" t="s">
        <v>2152</v>
      </c>
      <c r="D369" s="257" t="s">
        <v>1005</v>
      </c>
      <c r="E369" s="257" t="s">
        <v>2374</v>
      </c>
      <c r="F369" s="252" t="s">
        <v>43</v>
      </c>
      <c r="G369" s="284" t="s">
        <v>67</v>
      </c>
      <c r="H369" s="285" t="s">
        <v>45</v>
      </c>
      <c r="I369" s="257" t="s">
        <v>739</v>
      </c>
      <c r="J369" s="257" t="s">
        <v>740</v>
      </c>
      <c r="K369" s="255" t="s">
        <v>741</v>
      </c>
    </row>
    <row r="370" spans="1:17" ht="12.75" customHeight="1" x14ac:dyDescent="0.2">
      <c r="A370" s="249">
        <v>38720</v>
      </c>
      <c r="B370" s="250" t="s">
        <v>1891</v>
      </c>
      <c r="C370" s="264" t="s">
        <v>781</v>
      </c>
      <c r="D370" s="257" t="s">
        <v>82</v>
      </c>
      <c r="E370" s="257" t="s">
        <v>2374</v>
      </c>
      <c r="F370" s="252" t="s">
        <v>43</v>
      </c>
      <c r="G370" s="284" t="s">
        <v>44</v>
      </c>
      <c r="H370" s="285" t="s">
        <v>51</v>
      </c>
      <c r="I370" s="257" t="s">
        <v>739</v>
      </c>
      <c r="J370" s="257" t="s">
        <v>740</v>
      </c>
      <c r="K370" s="255" t="s">
        <v>741</v>
      </c>
    </row>
    <row r="371" spans="1:17" ht="12.75" customHeight="1" x14ac:dyDescent="0.2">
      <c r="A371" s="249">
        <v>38574</v>
      </c>
      <c r="B371" s="250" t="s">
        <v>780</v>
      </c>
      <c r="C371" s="264" t="s">
        <v>781</v>
      </c>
      <c r="D371" s="257" t="s">
        <v>782</v>
      </c>
      <c r="E371" s="257" t="s">
        <v>2374</v>
      </c>
      <c r="F371" s="252" t="s">
        <v>43</v>
      </c>
      <c r="G371" s="284" t="s">
        <v>44</v>
      </c>
      <c r="H371" s="285" t="s">
        <v>45</v>
      </c>
      <c r="I371" s="257" t="s">
        <v>739</v>
      </c>
      <c r="J371" s="257" t="s">
        <v>740</v>
      </c>
      <c r="K371" s="255" t="s">
        <v>741</v>
      </c>
      <c r="L371" s="281"/>
      <c r="M371" s="281"/>
      <c r="N371" s="281"/>
      <c r="Q371" s="283"/>
    </row>
    <row r="372" spans="1:17" ht="12.75" customHeight="1" x14ac:dyDescent="0.2">
      <c r="A372" s="249">
        <v>38832</v>
      </c>
      <c r="B372" s="250" t="s">
        <v>2153</v>
      </c>
      <c r="C372" s="264" t="s">
        <v>2154</v>
      </c>
      <c r="D372" s="257" t="s">
        <v>403</v>
      </c>
      <c r="E372" s="257" t="s">
        <v>2374</v>
      </c>
      <c r="F372" s="252" t="s">
        <v>43</v>
      </c>
      <c r="G372" s="284" t="s">
        <v>44</v>
      </c>
      <c r="H372" s="285" t="s">
        <v>51</v>
      </c>
      <c r="I372" s="257" t="s">
        <v>739</v>
      </c>
      <c r="J372" s="257" t="s">
        <v>740</v>
      </c>
      <c r="K372" s="255" t="s">
        <v>741</v>
      </c>
    </row>
    <row r="373" spans="1:17" ht="12.75" customHeight="1" x14ac:dyDescent="0.2">
      <c r="A373" s="249">
        <v>38719</v>
      </c>
      <c r="B373" s="250" t="s">
        <v>1892</v>
      </c>
      <c r="C373" s="264" t="s">
        <v>784</v>
      </c>
      <c r="D373" s="257" t="s">
        <v>892</v>
      </c>
      <c r="E373" s="257" t="s">
        <v>2374</v>
      </c>
      <c r="F373" s="252" t="s">
        <v>43</v>
      </c>
      <c r="G373" s="284" t="s">
        <v>360</v>
      </c>
      <c r="H373" s="285" t="s">
        <v>51</v>
      </c>
      <c r="I373" s="257" t="s">
        <v>739</v>
      </c>
      <c r="J373" s="257" t="s">
        <v>740</v>
      </c>
      <c r="K373" s="255" t="s">
        <v>741</v>
      </c>
    </row>
    <row r="374" spans="1:17" ht="12.75" customHeight="1" x14ac:dyDescent="0.2">
      <c r="A374" s="249">
        <v>38442</v>
      </c>
      <c r="B374" s="250" t="s">
        <v>783</v>
      </c>
      <c r="C374" s="251" t="s">
        <v>784</v>
      </c>
      <c r="D374" s="251" t="s">
        <v>785</v>
      </c>
      <c r="E374" s="251"/>
      <c r="F374" s="252" t="s">
        <v>43</v>
      </c>
      <c r="G374" s="284" t="s">
        <v>44</v>
      </c>
      <c r="H374" s="285" t="s">
        <v>45</v>
      </c>
      <c r="I374" s="251" t="s">
        <v>739</v>
      </c>
      <c r="J374" s="251" t="s">
        <v>740</v>
      </c>
      <c r="K374" s="255" t="s">
        <v>741</v>
      </c>
    </row>
    <row r="375" spans="1:17" ht="12.75" customHeight="1" x14ac:dyDescent="0.2">
      <c r="A375" s="249">
        <v>38561</v>
      </c>
      <c r="B375" s="250" t="s">
        <v>786</v>
      </c>
      <c r="C375" s="264" t="s">
        <v>784</v>
      </c>
      <c r="D375" s="257" t="s">
        <v>787</v>
      </c>
      <c r="E375" s="257" t="s">
        <v>2374</v>
      </c>
      <c r="F375" s="252" t="s">
        <v>49</v>
      </c>
      <c r="G375" s="284" t="s">
        <v>79</v>
      </c>
      <c r="H375" s="285" t="s">
        <v>104</v>
      </c>
      <c r="I375" s="257" t="s">
        <v>739</v>
      </c>
      <c r="J375" s="257" t="s">
        <v>740</v>
      </c>
      <c r="K375" s="255" t="s">
        <v>741</v>
      </c>
      <c r="L375" s="281"/>
      <c r="M375" s="281"/>
      <c r="N375" s="281"/>
      <c r="Q375" s="283"/>
    </row>
    <row r="376" spans="1:17" ht="12.75" customHeight="1" x14ac:dyDescent="0.2">
      <c r="A376" s="249">
        <v>38758</v>
      </c>
      <c r="B376" s="250" t="s">
        <v>1972</v>
      </c>
      <c r="C376" s="264" t="s">
        <v>1973</v>
      </c>
      <c r="D376" s="257" t="s">
        <v>271</v>
      </c>
      <c r="E376" s="257" t="s">
        <v>2374</v>
      </c>
      <c r="F376" s="252" t="s">
        <v>49</v>
      </c>
      <c r="G376" s="284" t="s">
        <v>79</v>
      </c>
      <c r="H376" s="285" t="s">
        <v>45</v>
      </c>
      <c r="I376" s="257" t="s">
        <v>739</v>
      </c>
      <c r="J376" s="257" t="s">
        <v>740</v>
      </c>
      <c r="K376" s="255" t="s">
        <v>741</v>
      </c>
    </row>
    <row r="377" spans="1:17" ht="12.75" customHeight="1" x14ac:dyDescent="0.2">
      <c r="A377" s="249">
        <v>38808</v>
      </c>
      <c r="B377" s="250" t="s">
        <v>2155</v>
      </c>
      <c r="C377" s="264" t="s">
        <v>1012</v>
      </c>
      <c r="D377" s="257" t="s">
        <v>995</v>
      </c>
      <c r="E377" s="257" t="s">
        <v>2374</v>
      </c>
      <c r="F377" s="252" t="s">
        <v>43</v>
      </c>
      <c r="G377" s="284" t="s">
        <v>360</v>
      </c>
      <c r="H377" s="285" t="s">
        <v>104</v>
      </c>
      <c r="I377" s="257" t="s">
        <v>739</v>
      </c>
      <c r="J377" s="257" t="s">
        <v>740</v>
      </c>
      <c r="K377" s="255" t="s">
        <v>741</v>
      </c>
    </row>
    <row r="378" spans="1:17" ht="12.75" customHeight="1" x14ac:dyDescent="0.2">
      <c r="A378" s="249">
        <v>16729</v>
      </c>
      <c r="B378" s="250" t="s">
        <v>788</v>
      </c>
      <c r="C378" s="251" t="s">
        <v>789</v>
      </c>
      <c r="D378" s="251" t="s">
        <v>195</v>
      </c>
      <c r="E378" s="251"/>
      <c r="F378" s="252" t="s">
        <v>43</v>
      </c>
      <c r="G378" s="284" t="s">
        <v>67</v>
      </c>
      <c r="H378" s="285" t="s">
        <v>45</v>
      </c>
      <c r="I378" s="251" t="s">
        <v>739</v>
      </c>
      <c r="J378" s="251" t="s">
        <v>740</v>
      </c>
      <c r="K378" s="255" t="s">
        <v>741</v>
      </c>
    </row>
    <row r="379" spans="1:17" ht="12.75" customHeight="1" x14ac:dyDescent="0.2">
      <c r="A379" s="249">
        <v>16518</v>
      </c>
      <c r="B379" s="250" t="s">
        <v>1974</v>
      </c>
      <c r="C379" s="251" t="s">
        <v>1975</v>
      </c>
      <c r="D379" s="251" t="s">
        <v>136</v>
      </c>
      <c r="E379" s="251"/>
      <c r="F379" s="252" t="s">
        <v>43</v>
      </c>
      <c r="G379" s="253" t="s">
        <v>52</v>
      </c>
      <c r="H379" s="254">
        <v>0</v>
      </c>
      <c r="I379" s="251" t="s">
        <v>739</v>
      </c>
      <c r="J379" s="251" t="s">
        <v>740</v>
      </c>
      <c r="K379" s="255" t="s">
        <v>741</v>
      </c>
    </row>
    <row r="380" spans="1:17" ht="12.75" customHeight="1" x14ac:dyDescent="0.2">
      <c r="A380" s="249">
        <v>38757</v>
      </c>
      <c r="B380" s="250" t="s">
        <v>1976</v>
      </c>
      <c r="C380" s="264" t="s">
        <v>791</v>
      </c>
      <c r="D380" s="257" t="s">
        <v>1977</v>
      </c>
      <c r="E380" s="257" t="s">
        <v>2374</v>
      </c>
      <c r="F380" s="252" t="s">
        <v>49</v>
      </c>
      <c r="G380" s="284" t="s">
        <v>79</v>
      </c>
      <c r="H380" s="285" t="s">
        <v>180</v>
      </c>
      <c r="I380" s="257" t="s">
        <v>739</v>
      </c>
      <c r="J380" s="257" t="s">
        <v>740</v>
      </c>
      <c r="K380" s="255" t="s">
        <v>741</v>
      </c>
    </row>
    <row r="381" spans="1:17" ht="12.75" customHeight="1" x14ac:dyDescent="0.2">
      <c r="A381" s="249">
        <v>16524</v>
      </c>
      <c r="B381" s="250" t="s">
        <v>790</v>
      </c>
      <c r="C381" s="251" t="s">
        <v>791</v>
      </c>
      <c r="D381" s="251" t="s">
        <v>381</v>
      </c>
      <c r="E381" s="251"/>
      <c r="F381" s="252" t="s">
        <v>43</v>
      </c>
      <c r="G381" s="284" t="s">
        <v>44</v>
      </c>
      <c r="H381" s="285" t="s">
        <v>66</v>
      </c>
      <c r="I381" s="251" t="s">
        <v>739</v>
      </c>
      <c r="J381" s="251" t="s">
        <v>740</v>
      </c>
      <c r="K381" s="255" t="s">
        <v>741</v>
      </c>
    </row>
    <row r="382" spans="1:17" ht="12.75" customHeight="1" x14ac:dyDescent="0.2">
      <c r="A382" s="249">
        <v>38896</v>
      </c>
      <c r="B382" s="250" t="s">
        <v>2398</v>
      </c>
      <c r="C382" s="264" t="s">
        <v>2399</v>
      </c>
      <c r="D382" s="257" t="s">
        <v>418</v>
      </c>
      <c r="E382" s="257" t="s">
        <v>2374</v>
      </c>
      <c r="F382" s="252" t="s">
        <v>49</v>
      </c>
      <c r="G382" s="284" t="s">
        <v>50</v>
      </c>
      <c r="H382" s="285"/>
      <c r="I382" s="257" t="s">
        <v>739</v>
      </c>
      <c r="J382" s="257" t="s">
        <v>740</v>
      </c>
      <c r="K382" s="255" t="s">
        <v>741</v>
      </c>
    </row>
    <row r="383" spans="1:17" ht="12.75" customHeight="1" x14ac:dyDescent="0.2">
      <c r="A383" s="249">
        <v>38922</v>
      </c>
      <c r="B383" s="250" t="s">
        <v>2460</v>
      </c>
      <c r="C383" s="264" t="s">
        <v>2461</v>
      </c>
      <c r="D383" s="257" t="s">
        <v>2462</v>
      </c>
      <c r="E383" s="257" t="s">
        <v>2374</v>
      </c>
      <c r="F383" s="252" t="s">
        <v>43</v>
      </c>
      <c r="G383" s="253" t="s">
        <v>89</v>
      </c>
      <c r="H383" s="254">
        <v>0</v>
      </c>
      <c r="I383" s="257" t="s">
        <v>739</v>
      </c>
      <c r="J383" s="257" t="s">
        <v>740</v>
      </c>
      <c r="K383" s="255" t="s">
        <v>741</v>
      </c>
    </row>
    <row r="384" spans="1:17" ht="12.75" customHeight="1" x14ac:dyDescent="0.2">
      <c r="A384" s="249">
        <v>38921</v>
      </c>
      <c r="B384" s="250" t="s">
        <v>2463</v>
      </c>
      <c r="C384" s="264" t="s">
        <v>2461</v>
      </c>
      <c r="D384" s="257" t="s">
        <v>2464</v>
      </c>
      <c r="E384" s="257" t="s">
        <v>2374</v>
      </c>
      <c r="F384" s="252" t="s">
        <v>49</v>
      </c>
      <c r="G384" s="253" t="s">
        <v>2465</v>
      </c>
      <c r="H384" s="254">
        <v>0</v>
      </c>
      <c r="I384" s="257" t="s">
        <v>739</v>
      </c>
      <c r="J384" s="257" t="s">
        <v>740</v>
      </c>
      <c r="K384" s="255" t="s">
        <v>741</v>
      </c>
    </row>
    <row r="385" spans="1:17" ht="12.75" customHeight="1" x14ac:dyDescent="0.2">
      <c r="A385" s="249">
        <v>25061</v>
      </c>
      <c r="B385" s="250" t="s">
        <v>792</v>
      </c>
      <c r="C385" s="251" t="s">
        <v>793</v>
      </c>
      <c r="D385" s="251" t="s">
        <v>87</v>
      </c>
      <c r="E385" s="251"/>
      <c r="F385" s="252" t="s">
        <v>43</v>
      </c>
      <c r="G385" s="284" t="s">
        <v>44</v>
      </c>
      <c r="H385" s="285" t="s">
        <v>66</v>
      </c>
      <c r="I385" s="251" t="s">
        <v>739</v>
      </c>
      <c r="J385" s="251" t="s">
        <v>740</v>
      </c>
      <c r="K385" s="255" t="s">
        <v>741</v>
      </c>
    </row>
    <row r="386" spans="1:17" ht="12.75" customHeight="1" x14ac:dyDescent="0.2">
      <c r="A386" s="249">
        <v>38920</v>
      </c>
      <c r="B386" s="250" t="s">
        <v>2466</v>
      </c>
      <c r="C386" s="264" t="s">
        <v>2467</v>
      </c>
      <c r="D386" s="257" t="s">
        <v>379</v>
      </c>
      <c r="E386" s="257" t="s">
        <v>2374</v>
      </c>
      <c r="F386" s="252" t="s">
        <v>43</v>
      </c>
      <c r="G386" s="253" t="s">
        <v>2052</v>
      </c>
      <c r="H386" s="254">
        <v>0</v>
      </c>
      <c r="I386" s="257" t="s">
        <v>739</v>
      </c>
      <c r="J386" s="257" t="s">
        <v>740</v>
      </c>
      <c r="K386" s="255" t="s">
        <v>741</v>
      </c>
    </row>
    <row r="387" spans="1:17" s="278" customFormat="1" ht="12.75" customHeight="1" x14ac:dyDescent="0.25">
      <c r="A387" s="249">
        <v>38724</v>
      </c>
      <c r="B387" s="250" t="s">
        <v>1893</v>
      </c>
      <c r="C387" s="264" t="s">
        <v>1894</v>
      </c>
      <c r="D387" s="257" t="s">
        <v>87</v>
      </c>
      <c r="E387" s="257" t="s">
        <v>2374</v>
      </c>
      <c r="F387" s="252" t="s">
        <v>43</v>
      </c>
      <c r="G387" s="284" t="s">
        <v>44</v>
      </c>
      <c r="H387" s="285"/>
      <c r="I387" s="257" t="s">
        <v>739</v>
      </c>
      <c r="J387" s="257" t="s">
        <v>740</v>
      </c>
      <c r="K387" s="255" t="s">
        <v>741</v>
      </c>
    </row>
    <row r="388" spans="1:17" ht="12.75" customHeight="1" x14ac:dyDescent="0.2">
      <c r="A388" s="249">
        <v>16667</v>
      </c>
      <c r="B388" s="250" t="s">
        <v>1895</v>
      </c>
      <c r="C388" s="251" t="s">
        <v>1896</v>
      </c>
      <c r="D388" s="251" t="s">
        <v>1897</v>
      </c>
      <c r="E388" s="251"/>
      <c r="F388" s="252" t="s">
        <v>49</v>
      </c>
      <c r="G388" s="284" t="s">
        <v>50</v>
      </c>
      <c r="H388" s="285"/>
      <c r="I388" s="251" t="s">
        <v>739</v>
      </c>
      <c r="J388" s="251" t="s">
        <v>740</v>
      </c>
      <c r="K388" s="255" t="s">
        <v>741</v>
      </c>
    </row>
    <row r="389" spans="1:17" s="278" customFormat="1" ht="12.75" customHeight="1" x14ac:dyDescent="0.25">
      <c r="A389" s="249">
        <v>38759</v>
      </c>
      <c r="B389" s="250" t="s">
        <v>1978</v>
      </c>
      <c r="C389" s="264" t="s">
        <v>1979</v>
      </c>
      <c r="D389" s="257" t="s">
        <v>1980</v>
      </c>
      <c r="E389" s="257" t="s">
        <v>2374</v>
      </c>
      <c r="F389" s="252" t="s">
        <v>49</v>
      </c>
      <c r="G389" s="284" t="s">
        <v>773</v>
      </c>
      <c r="H389" s="285" t="s">
        <v>104</v>
      </c>
      <c r="I389" s="257" t="s">
        <v>739</v>
      </c>
      <c r="J389" s="257" t="s">
        <v>740</v>
      </c>
      <c r="K389" s="255" t="s">
        <v>741</v>
      </c>
    </row>
    <row r="390" spans="1:17" s="278" customFormat="1" ht="12.75" customHeight="1" x14ac:dyDescent="0.25">
      <c r="A390" s="249">
        <v>38871</v>
      </c>
      <c r="B390" s="250" t="s">
        <v>2468</v>
      </c>
      <c r="C390" s="264" t="s">
        <v>2157</v>
      </c>
      <c r="D390" s="257" t="s">
        <v>53</v>
      </c>
      <c r="E390" s="257" t="s">
        <v>2374</v>
      </c>
      <c r="F390" s="252" t="s">
        <v>43</v>
      </c>
      <c r="G390" s="253" t="s">
        <v>44</v>
      </c>
      <c r="H390" s="254">
        <v>0</v>
      </c>
      <c r="I390" s="257" t="s">
        <v>739</v>
      </c>
      <c r="J390" s="257" t="s">
        <v>740</v>
      </c>
      <c r="K390" s="255" t="s">
        <v>741</v>
      </c>
      <c r="L390" s="287"/>
      <c r="M390" s="287"/>
      <c r="N390" s="287"/>
      <c r="Q390" s="288"/>
    </row>
    <row r="391" spans="1:17" s="278" customFormat="1" ht="12.75" customHeight="1" x14ac:dyDescent="0.25">
      <c r="A391" s="249">
        <v>38831</v>
      </c>
      <c r="B391" s="250" t="s">
        <v>2156</v>
      </c>
      <c r="C391" s="264" t="s">
        <v>2157</v>
      </c>
      <c r="D391" s="257" t="s">
        <v>2158</v>
      </c>
      <c r="E391" s="257" t="s">
        <v>2374</v>
      </c>
      <c r="F391" s="252" t="s">
        <v>49</v>
      </c>
      <c r="G391" s="284" t="s">
        <v>773</v>
      </c>
      <c r="H391" s="285"/>
      <c r="I391" s="257" t="s">
        <v>739</v>
      </c>
      <c r="J391" s="257" t="s">
        <v>740</v>
      </c>
      <c r="K391" s="255" t="s">
        <v>741</v>
      </c>
    </row>
    <row r="392" spans="1:17" s="278" customFormat="1" ht="12.75" customHeight="1" x14ac:dyDescent="0.25">
      <c r="A392" s="249">
        <v>16519</v>
      </c>
      <c r="B392" s="250" t="s">
        <v>794</v>
      </c>
      <c r="C392" s="251" t="s">
        <v>795</v>
      </c>
      <c r="D392" s="251" t="s">
        <v>765</v>
      </c>
      <c r="E392" s="251"/>
      <c r="F392" s="252" t="s">
        <v>43</v>
      </c>
      <c r="G392" s="284" t="s">
        <v>44</v>
      </c>
      <c r="H392" s="285" t="s">
        <v>239</v>
      </c>
      <c r="I392" s="251" t="s">
        <v>739</v>
      </c>
      <c r="J392" s="251" t="s">
        <v>740</v>
      </c>
      <c r="K392" s="255" t="s">
        <v>741</v>
      </c>
    </row>
    <row r="393" spans="1:17" s="278" customFormat="1" ht="12.75" customHeight="1" x14ac:dyDescent="0.25">
      <c r="A393" s="249">
        <v>38810</v>
      </c>
      <c r="B393" s="250" t="s">
        <v>2159</v>
      </c>
      <c r="C393" s="264" t="s">
        <v>2160</v>
      </c>
      <c r="D393" s="257" t="s">
        <v>285</v>
      </c>
      <c r="E393" s="257" t="s">
        <v>2374</v>
      </c>
      <c r="F393" s="252" t="s">
        <v>43</v>
      </c>
      <c r="G393" s="284" t="s">
        <v>89</v>
      </c>
      <c r="H393" s="285" t="s">
        <v>104</v>
      </c>
      <c r="I393" s="257" t="s">
        <v>739</v>
      </c>
      <c r="J393" s="257" t="s">
        <v>740</v>
      </c>
      <c r="K393" s="255" t="s">
        <v>741</v>
      </c>
      <c r="L393" s="287"/>
      <c r="M393" s="287"/>
      <c r="N393" s="287"/>
      <c r="Q393" s="288"/>
    </row>
    <row r="394" spans="1:17" s="278" customFormat="1" ht="12.75" customHeight="1" x14ac:dyDescent="0.25">
      <c r="A394" s="249">
        <v>38851</v>
      </c>
      <c r="B394" s="250" t="s">
        <v>2280</v>
      </c>
      <c r="C394" s="264" t="s">
        <v>2281</v>
      </c>
      <c r="D394" s="257" t="s">
        <v>57</v>
      </c>
      <c r="E394" s="257" t="s">
        <v>2374</v>
      </c>
      <c r="F394" s="252" t="s">
        <v>43</v>
      </c>
      <c r="G394" s="284" t="s">
        <v>44</v>
      </c>
      <c r="H394" s="285"/>
      <c r="I394" s="257" t="s">
        <v>739</v>
      </c>
      <c r="J394" s="257" t="s">
        <v>740</v>
      </c>
      <c r="K394" s="255" t="s">
        <v>741</v>
      </c>
      <c r="L394" s="287"/>
      <c r="M394" s="287"/>
      <c r="N394" s="287"/>
      <c r="Q394" s="288"/>
    </row>
    <row r="395" spans="1:17" s="278" customFormat="1" ht="12.75" customHeight="1" x14ac:dyDescent="0.25">
      <c r="A395" s="249">
        <v>38923</v>
      </c>
      <c r="B395" s="250" t="s">
        <v>2469</v>
      </c>
      <c r="C395" s="264" t="s">
        <v>2470</v>
      </c>
      <c r="D395" s="257" t="s">
        <v>2107</v>
      </c>
      <c r="E395" s="257" t="s">
        <v>2374</v>
      </c>
      <c r="F395" s="252" t="s">
        <v>49</v>
      </c>
      <c r="G395" s="253" t="s">
        <v>773</v>
      </c>
      <c r="H395" s="254">
        <v>0</v>
      </c>
      <c r="I395" s="257" t="s">
        <v>739</v>
      </c>
      <c r="J395" s="257" t="s">
        <v>740</v>
      </c>
      <c r="K395" s="255" t="s">
        <v>741</v>
      </c>
    </row>
    <row r="396" spans="1:17" ht="12.75" customHeight="1" x14ac:dyDescent="0.2">
      <c r="A396" s="249">
        <v>38773</v>
      </c>
      <c r="B396" s="250" t="s">
        <v>2037</v>
      </c>
      <c r="C396" s="264" t="s">
        <v>2038</v>
      </c>
      <c r="D396" s="257" t="s">
        <v>2039</v>
      </c>
      <c r="E396" s="257" t="s">
        <v>2374</v>
      </c>
      <c r="F396" s="252" t="s">
        <v>49</v>
      </c>
      <c r="G396" s="284" t="s">
        <v>773</v>
      </c>
      <c r="H396" s="285" t="s">
        <v>104</v>
      </c>
      <c r="I396" s="257" t="s">
        <v>739</v>
      </c>
      <c r="J396" s="257" t="s">
        <v>740</v>
      </c>
      <c r="K396" s="255" t="s">
        <v>741</v>
      </c>
    </row>
    <row r="397" spans="1:17" ht="12.75" customHeight="1" x14ac:dyDescent="0.2">
      <c r="A397" s="265">
        <v>7425</v>
      </c>
      <c r="B397" s="250" t="s">
        <v>796</v>
      </c>
      <c r="C397" s="251" t="s">
        <v>797</v>
      </c>
      <c r="D397" s="251" t="s">
        <v>73</v>
      </c>
      <c r="E397" s="251"/>
      <c r="F397" s="252" t="s">
        <v>43</v>
      </c>
      <c r="G397" s="284" t="s">
        <v>52</v>
      </c>
      <c r="H397" s="285" t="s">
        <v>180</v>
      </c>
      <c r="I397" s="251" t="s">
        <v>739</v>
      </c>
      <c r="J397" s="251" t="s">
        <v>740</v>
      </c>
      <c r="K397" s="255" t="s">
        <v>741</v>
      </c>
    </row>
    <row r="398" spans="1:17" ht="12.75" customHeight="1" x14ac:dyDescent="0.2">
      <c r="A398" s="249">
        <v>16465</v>
      </c>
      <c r="B398" s="250" t="s">
        <v>802</v>
      </c>
      <c r="C398" s="251" t="s">
        <v>803</v>
      </c>
      <c r="D398" s="251" t="s">
        <v>117</v>
      </c>
      <c r="E398" s="251"/>
      <c r="F398" s="252" t="s">
        <v>43</v>
      </c>
      <c r="G398" s="284" t="s">
        <v>67</v>
      </c>
      <c r="H398" s="285" t="s">
        <v>66</v>
      </c>
      <c r="I398" s="251" t="s">
        <v>801</v>
      </c>
      <c r="J398" s="251" t="s">
        <v>18</v>
      </c>
      <c r="K398" s="255" t="s">
        <v>22</v>
      </c>
    </row>
    <row r="399" spans="1:17" ht="12.75" customHeight="1" x14ac:dyDescent="0.2">
      <c r="A399" s="249">
        <v>25095</v>
      </c>
      <c r="B399" s="250" t="s">
        <v>1981</v>
      </c>
      <c r="C399" s="257" t="s">
        <v>572</v>
      </c>
      <c r="D399" s="257" t="s">
        <v>1752</v>
      </c>
      <c r="E399" s="257" t="s">
        <v>2374</v>
      </c>
      <c r="F399" s="252" t="s">
        <v>43</v>
      </c>
      <c r="G399" s="284" t="s">
        <v>67</v>
      </c>
      <c r="H399" s="285"/>
      <c r="I399" s="251" t="s">
        <v>801</v>
      </c>
      <c r="J399" s="251" t="s">
        <v>18</v>
      </c>
      <c r="K399" s="255" t="s">
        <v>22</v>
      </c>
    </row>
    <row r="400" spans="1:17" ht="12.75" customHeight="1" x14ac:dyDescent="0.2">
      <c r="A400" s="249">
        <v>25555</v>
      </c>
      <c r="B400" s="250">
        <v>9070673</v>
      </c>
      <c r="C400" s="257" t="s">
        <v>804</v>
      </c>
      <c r="D400" s="257" t="s">
        <v>805</v>
      </c>
      <c r="E400" s="257" t="s">
        <v>2374</v>
      </c>
      <c r="F400" s="252" t="s">
        <v>43</v>
      </c>
      <c r="G400" s="284" t="s">
        <v>44</v>
      </c>
      <c r="H400" s="285" t="s">
        <v>66</v>
      </c>
      <c r="I400" s="257" t="s">
        <v>801</v>
      </c>
      <c r="J400" s="257" t="s">
        <v>18</v>
      </c>
      <c r="K400" s="255" t="s">
        <v>22</v>
      </c>
    </row>
    <row r="401" spans="1:17" ht="12.75" customHeight="1" x14ac:dyDescent="0.2">
      <c r="A401" s="249">
        <v>25097</v>
      </c>
      <c r="B401" s="250" t="s">
        <v>807</v>
      </c>
      <c r="C401" s="257" t="s">
        <v>808</v>
      </c>
      <c r="D401" s="257" t="s">
        <v>632</v>
      </c>
      <c r="E401" s="257" t="s">
        <v>2374</v>
      </c>
      <c r="F401" s="252" t="s">
        <v>43</v>
      </c>
      <c r="G401" s="284" t="s">
        <v>44</v>
      </c>
      <c r="H401" s="285" t="s">
        <v>45</v>
      </c>
      <c r="I401" s="257" t="s">
        <v>801</v>
      </c>
      <c r="J401" s="257" t="s">
        <v>18</v>
      </c>
      <c r="K401" s="255" t="s">
        <v>22</v>
      </c>
    </row>
    <row r="402" spans="1:17" ht="12.75" customHeight="1" x14ac:dyDescent="0.2">
      <c r="A402" s="249">
        <v>25614</v>
      </c>
      <c r="B402" s="250" t="s">
        <v>2400</v>
      </c>
      <c r="C402" s="257" t="s">
        <v>809</v>
      </c>
      <c r="D402" s="257" t="s">
        <v>117</v>
      </c>
      <c r="E402" s="257" t="s">
        <v>2374</v>
      </c>
      <c r="F402" s="252" t="s">
        <v>43</v>
      </c>
      <c r="G402" s="284" t="s">
        <v>52</v>
      </c>
      <c r="H402" s="285" t="s">
        <v>51</v>
      </c>
      <c r="I402" s="257" t="s">
        <v>801</v>
      </c>
      <c r="J402" s="257" t="s">
        <v>18</v>
      </c>
      <c r="K402" s="255" t="s">
        <v>22</v>
      </c>
    </row>
    <row r="403" spans="1:17" ht="12.75" customHeight="1" x14ac:dyDescent="0.2">
      <c r="A403" s="249">
        <v>25093</v>
      </c>
      <c r="B403" s="250" t="s">
        <v>810</v>
      </c>
      <c r="C403" s="251" t="s">
        <v>811</v>
      </c>
      <c r="D403" s="251" t="s">
        <v>90</v>
      </c>
      <c r="E403" s="251"/>
      <c r="F403" s="252" t="s">
        <v>43</v>
      </c>
      <c r="G403" s="284" t="s">
        <v>67</v>
      </c>
      <c r="H403" s="285"/>
      <c r="I403" s="251" t="s">
        <v>801</v>
      </c>
      <c r="J403" s="251" t="s">
        <v>18</v>
      </c>
      <c r="K403" s="255" t="s">
        <v>22</v>
      </c>
    </row>
    <row r="404" spans="1:17" ht="12.75" customHeight="1" x14ac:dyDescent="0.2">
      <c r="A404" s="249">
        <v>38744</v>
      </c>
      <c r="B404" s="250" t="s">
        <v>1982</v>
      </c>
      <c r="C404" s="251" t="s">
        <v>1983</v>
      </c>
      <c r="D404" s="251" t="s">
        <v>150</v>
      </c>
      <c r="E404" s="251"/>
      <c r="F404" s="252" t="s">
        <v>43</v>
      </c>
      <c r="G404" s="284" t="s">
        <v>94</v>
      </c>
      <c r="H404" s="285" t="s">
        <v>45</v>
      </c>
      <c r="I404" s="251" t="s">
        <v>801</v>
      </c>
      <c r="J404" s="251" t="s">
        <v>18</v>
      </c>
      <c r="K404" s="255" t="s">
        <v>22</v>
      </c>
    </row>
    <row r="405" spans="1:17" ht="12.75" customHeight="1" x14ac:dyDescent="0.2">
      <c r="A405" s="249">
        <v>25948</v>
      </c>
      <c r="B405" s="250">
        <v>9111781</v>
      </c>
      <c r="C405" s="251" t="s">
        <v>812</v>
      </c>
      <c r="D405" s="251" t="s">
        <v>179</v>
      </c>
      <c r="E405" s="251"/>
      <c r="F405" s="252" t="s">
        <v>43</v>
      </c>
      <c r="G405" s="284" t="s">
        <v>44</v>
      </c>
      <c r="H405" s="285" t="s">
        <v>239</v>
      </c>
      <c r="I405" s="251" t="s">
        <v>801</v>
      </c>
      <c r="J405" s="251" t="s">
        <v>18</v>
      </c>
      <c r="K405" s="255" t="s">
        <v>22</v>
      </c>
    </row>
    <row r="406" spans="1:17" ht="12.75" customHeight="1" x14ac:dyDescent="0.2">
      <c r="A406" s="249">
        <v>38799</v>
      </c>
      <c r="B406" s="250" t="s">
        <v>2161</v>
      </c>
      <c r="C406" s="251" t="s">
        <v>2162</v>
      </c>
      <c r="D406" s="251" t="s">
        <v>2163</v>
      </c>
      <c r="E406" s="251"/>
      <c r="F406" s="252" t="s">
        <v>49</v>
      </c>
      <c r="G406" s="284" t="s">
        <v>79</v>
      </c>
      <c r="H406" s="285" t="s">
        <v>104</v>
      </c>
      <c r="I406" s="251" t="s">
        <v>801</v>
      </c>
      <c r="J406" s="251" t="s">
        <v>18</v>
      </c>
      <c r="K406" s="255" t="s">
        <v>22</v>
      </c>
    </row>
    <row r="407" spans="1:17" ht="12.75" customHeight="1" x14ac:dyDescent="0.2">
      <c r="A407" s="249">
        <v>25615</v>
      </c>
      <c r="B407" s="250" t="s">
        <v>2401</v>
      </c>
      <c r="C407" s="257" t="s">
        <v>813</v>
      </c>
      <c r="D407" s="257" t="s">
        <v>143</v>
      </c>
      <c r="E407" s="257" t="s">
        <v>2374</v>
      </c>
      <c r="F407" s="252" t="s">
        <v>43</v>
      </c>
      <c r="G407" s="284" t="s">
        <v>67</v>
      </c>
      <c r="H407" s="285" t="s">
        <v>66</v>
      </c>
      <c r="I407" s="257" t="s">
        <v>801</v>
      </c>
      <c r="J407" s="257" t="s">
        <v>18</v>
      </c>
      <c r="K407" s="255" t="s">
        <v>22</v>
      </c>
      <c r="L407" s="281"/>
      <c r="M407" s="281"/>
      <c r="N407" s="281"/>
      <c r="Q407" s="283"/>
    </row>
    <row r="408" spans="1:17" ht="12.75" customHeight="1" x14ac:dyDescent="0.2">
      <c r="A408" s="249">
        <v>16456</v>
      </c>
      <c r="B408" s="250">
        <v>9109458</v>
      </c>
      <c r="C408" s="251" t="s">
        <v>814</v>
      </c>
      <c r="D408" s="251" t="s">
        <v>183</v>
      </c>
      <c r="E408" s="251"/>
      <c r="F408" s="252" t="s">
        <v>43</v>
      </c>
      <c r="G408" s="284" t="s">
        <v>58</v>
      </c>
      <c r="H408" s="285" t="s">
        <v>51</v>
      </c>
      <c r="I408" s="251" t="s">
        <v>801</v>
      </c>
      <c r="J408" s="251" t="s">
        <v>18</v>
      </c>
      <c r="K408" s="255" t="s">
        <v>22</v>
      </c>
    </row>
    <row r="409" spans="1:17" ht="12.75" customHeight="1" x14ac:dyDescent="0.2">
      <c r="A409" s="249">
        <v>16459</v>
      </c>
      <c r="B409" s="250" t="s">
        <v>815</v>
      </c>
      <c r="C409" s="251" t="s">
        <v>816</v>
      </c>
      <c r="D409" s="251" t="s">
        <v>61</v>
      </c>
      <c r="E409" s="251"/>
      <c r="F409" s="252" t="s">
        <v>43</v>
      </c>
      <c r="G409" s="284" t="s">
        <v>52</v>
      </c>
      <c r="H409" s="285" t="s">
        <v>66</v>
      </c>
      <c r="I409" s="251" t="s">
        <v>801</v>
      </c>
      <c r="J409" s="251" t="s">
        <v>18</v>
      </c>
      <c r="K409" s="255" t="s">
        <v>22</v>
      </c>
    </row>
    <row r="410" spans="1:17" ht="12.75" customHeight="1" x14ac:dyDescent="0.2">
      <c r="A410" s="249">
        <v>38711</v>
      </c>
      <c r="B410" s="250" t="s">
        <v>817</v>
      </c>
      <c r="C410" s="251" t="s">
        <v>818</v>
      </c>
      <c r="D410" s="251" t="s">
        <v>819</v>
      </c>
      <c r="E410" s="251"/>
      <c r="F410" s="252" t="s">
        <v>43</v>
      </c>
      <c r="G410" s="284" t="s">
        <v>44</v>
      </c>
      <c r="H410" s="285" t="s">
        <v>180</v>
      </c>
      <c r="I410" s="251" t="s">
        <v>801</v>
      </c>
      <c r="J410" s="251" t="s">
        <v>18</v>
      </c>
      <c r="K410" s="255" t="s">
        <v>22</v>
      </c>
      <c r="L410" s="281"/>
      <c r="M410" s="281"/>
      <c r="N410" s="281"/>
      <c r="Q410" s="283"/>
    </row>
    <row r="411" spans="1:17" ht="12.75" customHeight="1" x14ac:dyDescent="0.2">
      <c r="A411" s="249">
        <v>16462</v>
      </c>
      <c r="B411" s="250" t="s">
        <v>820</v>
      </c>
      <c r="C411" s="251" t="s">
        <v>821</v>
      </c>
      <c r="D411" s="251" t="s">
        <v>165</v>
      </c>
      <c r="E411" s="251"/>
      <c r="F411" s="252" t="s">
        <v>43</v>
      </c>
      <c r="G411" s="284" t="s">
        <v>52</v>
      </c>
      <c r="H411" s="285" t="s">
        <v>66</v>
      </c>
      <c r="I411" s="251" t="s">
        <v>801</v>
      </c>
      <c r="J411" s="251" t="s">
        <v>18</v>
      </c>
      <c r="K411" s="255" t="s">
        <v>22</v>
      </c>
    </row>
    <row r="412" spans="1:17" ht="12.75" customHeight="1" x14ac:dyDescent="0.2">
      <c r="A412" s="249">
        <v>16811</v>
      </c>
      <c r="B412" s="250" t="s">
        <v>822</v>
      </c>
      <c r="C412" s="251" t="s">
        <v>500</v>
      </c>
      <c r="D412" s="251" t="s">
        <v>435</v>
      </c>
      <c r="E412" s="251"/>
      <c r="F412" s="252" t="s">
        <v>43</v>
      </c>
      <c r="G412" s="284" t="s">
        <v>52</v>
      </c>
      <c r="H412" s="285"/>
      <c r="I412" s="251" t="s">
        <v>801</v>
      </c>
      <c r="J412" s="251" t="s">
        <v>18</v>
      </c>
      <c r="K412" s="255" t="s">
        <v>22</v>
      </c>
    </row>
    <row r="413" spans="1:17" ht="12.75" customHeight="1" x14ac:dyDescent="0.2">
      <c r="A413" s="249">
        <v>25087</v>
      </c>
      <c r="B413" s="250" t="s">
        <v>823</v>
      </c>
      <c r="C413" s="251" t="s">
        <v>824</v>
      </c>
      <c r="D413" s="251" t="s">
        <v>195</v>
      </c>
      <c r="E413" s="251"/>
      <c r="F413" s="252" t="s">
        <v>43</v>
      </c>
      <c r="G413" s="284" t="s">
        <v>44</v>
      </c>
      <c r="H413" s="285" t="s">
        <v>45</v>
      </c>
      <c r="I413" s="251" t="s">
        <v>801</v>
      </c>
      <c r="J413" s="251" t="s">
        <v>18</v>
      </c>
      <c r="K413" s="255" t="s">
        <v>22</v>
      </c>
    </row>
    <row r="414" spans="1:17" ht="12.75" customHeight="1" x14ac:dyDescent="0.2">
      <c r="A414" s="249">
        <v>38826</v>
      </c>
      <c r="B414" s="250" t="s">
        <v>2164</v>
      </c>
      <c r="C414" s="251" t="s">
        <v>2165</v>
      </c>
      <c r="D414" s="251" t="s">
        <v>700</v>
      </c>
      <c r="E414" s="251"/>
      <c r="F414" s="252" t="s">
        <v>43</v>
      </c>
      <c r="G414" s="284" t="s">
        <v>44</v>
      </c>
      <c r="H414" s="285" t="s">
        <v>104</v>
      </c>
      <c r="I414" s="251" t="s">
        <v>801</v>
      </c>
      <c r="J414" s="251" t="s">
        <v>18</v>
      </c>
      <c r="K414" s="255" t="s">
        <v>22</v>
      </c>
    </row>
    <row r="415" spans="1:17" ht="12.75" customHeight="1" x14ac:dyDescent="0.2">
      <c r="A415" s="249">
        <v>38664</v>
      </c>
      <c r="B415" s="250" t="s">
        <v>825</v>
      </c>
      <c r="C415" s="251" t="s">
        <v>826</v>
      </c>
      <c r="D415" s="251" t="s">
        <v>827</v>
      </c>
      <c r="E415" s="251"/>
      <c r="F415" s="252" t="s">
        <v>43</v>
      </c>
      <c r="G415" s="284" t="s">
        <v>44</v>
      </c>
      <c r="H415" s="285"/>
      <c r="I415" s="251" t="s">
        <v>801</v>
      </c>
      <c r="J415" s="251" t="s">
        <v>18</v>
      </c>
      <c r="K415" s="255" t="s">
        <v>22</v>
      </c>
    </row>
    <row r="416" spans="1:17" ht="12.75" customHeight="1" x14ac:dyDescent="0.2">
      <c r="A416" s="249">
        <v>38878</v>
      </c>
      <c r="B416" s="250" t="s">
        <v>2471</v>
      </c>
      <c r="C416" s="251" t="s">
        <v>668</v>
      </c>
      <c r="D416" s="251" t="s">
        <v>1605</v>
      </c>
      <c r="E416" s="251"/>
      <c r="F416" s="252" t="s">
        <v>43</v>
      </c>
      <c r="G416" s="253" t="s">
        <v>44</v>
      </c>
      <c r="H416" s="254">
        <v>0</v>
      </c>
      <c r="I416" s="251" t="s">
        <v>801</v>
      </c>
      <c r="J416" s="251" t="s">
        <v>18</v>
      </c>
      <c r="K416" s="255" t="s">
        <v>22</v>
      </c>
    </row>
    <row r="417" spans="1:17" ht="12.75" customHeight="1" x14ac:dyDescent="0.2">
      <c r="A417" s="249">
        <v>10678</v>
      </c>
      <c r="B417" s="250" t="s">
        <v>828</v>
      </c>
      <c r="C417" s="251" t="s">
        <v>829</v>
      </c>
      <c r="D417" s="251" t="s">
        <v>830</v>
      </c>
      <c r="E417" s="251"/>
      <c r="F417" s="252" t="s">
        <v>43</v>
      </c>
      <c r="G417" s="284" t="s">
        <v>44</v>
      </c>
      <c r="H417" s="285" t="s">
        <v>45</v>
      </c>
      <c r="I417" s="251" t="s">
        <v>801</v>
      </c>
      <c r="J417" s="251" t="s">
        <v>18</v>
      </c>
      <c r="K417" s="255" t="s">
        <v>22</v>
      </c>
    </row>
    <row r="418" spans="1:17" ht="12.75" customHeight="1" x14ac:dyDescent="0.2">
      <c r="A418" s="265">
        <v>38403</v>
      </c>
      <c r="B418" s="250" t="s">
        <v>831</v>
      </c>
      <c r="C418" s="251" t="s">
        <v>832</v>
      </c>
      <c r="D418" s="251" t="s">
        <v>833</v>
      </c>
      <c r="E418" s="251"/>
      <c r="F418" s="252" t="s">
        <v>43</v>
      </c>
      <c r="G418" s="284" t="s">
        <v>44</v>
      </c>
      <c r="H418" s="285" t="s">
        <v>66</v>
      </c>
      <c r="I418" s="251" t="s">
        <v>801</v>
      </c>
      <c r="J418" s="251" t="s">
        <v>18</v>
      </c>
      <c r="K418" s="255" t="s">
        <v>22</v>
      </c>
    </row>
    <row r="419" spans="1:17" ht="12.75" customHeight="1" x14ac:dyDescent="0.2">
      <c r="A419" s="249">
        <v>16471</v>
      </c>
      <c r="B419" s="250" t="s">
        <v>2166</v>
      </c>
      <c r="C419" s="251" t="s">
        <v>2167</v>
      </c>
      <c r="D419" s="251" t="s">
        <v>2168</v>
      </c>
      <c r="E419" s="251"/>
      <c r="F419" s="252" t="s">
        <v>43</v>
      </c>
      <c r="G419" s="284" t="s">
        <v>67</v>
      </c>
      <c r="H419" s="285" t="s">
        <v>45</v>
      </c>
      <c r="I419" s="251" t="s">
        <v>801</v>
      </c>
      <c r="J419" s="251" t="s">
        <v>18</v>
      </c>
      <c r="K419" s="255" t="s">
        <v>22</v>
      </c>
    </row>
    <row r="420" spans="1:17" ht="12.75" customHeight="1" x14ac:dyDescent="0.2">
      <c r="A420" s="249">
        <v>16461</v>
      </c>
      <c r="B420" s="266" t="s">
        <v>834</v>
      </c>
      <c r="C420" s="251" t="s">
        <v>835</v>
      </c>
      <c r="D420" s="251" t="s">
        <v>57</v>
      </c>
      <c r="E420" s="251"/>
      <c r="F420" s="252" t="s">
        <v>43</v>
      </c>
      <c r="G420" s="253" t="s">
        <v>58</v>
      </c>
      <c r="H420" s="254">
        <v>0</v>
      </c>
      <c r="I420" s="251" t="s">
        <v>801</v>
      </c>
      <c r="J420" s="251" t="s">
        <v>18</v>
      </c>
      <c r="K420" s="255" t="s">
        <v>22</v>
      </c>
    </row>
    <row r="421" spans="1:17" ht="12.75" customHeight="1" x14ac:dyDescent="0.2">
      <c r="A421" s="249">
        <v>38639</v>
      </c>
      <c r="B421" s="250" t="s">
        <v>837</v>
      </c>
      <c r="C421" s="251" t="s">
        <v>838</v>
      </c>
      <c r="D421" s="251" t="s">
        <v>117</v>
      </c>
      <c r="E421" s="251"/>
      <c r="F421" s="252" t="s">
        <v>43</v>
      </c>
      <c r="G421" s="284" t="s">
        <v>44</v>
      </c>
      <c r="H421" s="285" t="s">
        <v>66</v>
      </c>
      <c r="I421" s="251" t="s">
        <v>801</v>
      </c>
      <c r="J421" s="251" t="s">
        <v>18</v>
      </c>
      <c r="K421" s="255" t="s">
        <v>22</v>
      </c>
    </row>
    <row r="422" spans="1:17" ht="12.75" customHeight="1" x14ac:dyDescent="0.2">
      <c r="A422" s="249">
        <v>38638</v>
      </c>
      <c r="B422" s="250" t="s">
        <v>839</v>
      </c>
      <c r="C422" s="251" t="s">
        <v>840</v>
      </c>
      <c r="D422" s="251" t="s">
        <v>841</v>
      </c>
      <c r="E422" s="251"/>
      <c r="F422" s="252" t="s">
        <v>43</v>
      </c>
      <c r="G422" s="284" t="s">
        <v>44</v>
      </c>
      <c r="H422" s="285" t="s">
        <v>66</v>
      </c>
      <c r="I422" s="251" t="s">
        <v>801</v>
      </c>
      <c r="J422" s="251" t="s">
        <v>18</v>
      </c>
      <c r="K422" s="255" t="s">
        <v>22</v>
      </c>
    </row>
    <row r="423" spans="1:17" ht="12.75" customHeight="1" x14ac:dyDescent="0.2">
      <c r="A423" s="249">
        <v>38637</v>
      </c>
      <c r="B423" s="250" t="s">
        <v>842</v>
      </c>
      <c r="C423" s="251" t="s">
        <v>843</v>
      </c>
      <c r="D423" s="251" t="s">
        <v>238</v>
      </c>
      <c r="E423" s="251"/>
      <c r="F423" s="252" t="s">
        <v>43</v>
      </c>
      <c r="G423" s="284" t="s">
        <v>44</v>
      </c>
      <c r="H423" s="285" t="s">
        <v>45</v>
      </c>
      <c r="I423" s="251" t="s">
        <v>801</v>
      </c>
      <c r="J423" s="251" t="s">
        <v>18</v>
      </c>
      <c r="K423" s="255" t="s">
        <v>22</v>
      </c>
      <c r="L423" s="281"/>
      <c r="M423" s="281"/>
      <c r="N423" s="281"/>
      <c r="Q423" s="283"/>
    </row>
    <row r="424" spans="1:17" ht="12.75" customHeight="1" x14ac:dyDescent="0.2">
      <c r="A424" s="249">
        <v>38549</v>
      </c>
      <c r="B424" s="250" t="s">
        <v>844</v>
      </c>
      <c r="C424" s="257" t="s">
        <v>845</v>
      </c>
      <c r="D424" s="257" t="s">
        <v>97</v>
      </c>
      <c r="E424" s="257" t="s">
        <v>2374</v>
      </c>
      <c r="F424" s="252" t="s">
        <v>43</v>
      </c>
      <c r="G424" s="284" t="s">
        <v>52</v>
      </c>
      <c r="H424" s="285" t="s">
        <v>66</v>
      </c>
      <c r="I424" s="257" t="s">
        <v>2472</v>
      </c>
      <c r="J424" s="257" t="s">
        <v>18</v>
      </c>
      <c r="K424" s="255" t="s">
        <v>22</v>
      </c>
    </row>
    <row r="425" spans="1:17" ht="12.75" customHeight="1" x14ac:dyDescent="0.2">
      <c r="A425" s="249">
        <v>38746</v>
      </c>
      <c r="B425" s="250" t="s">
        <v>1984</v>
      </c>
      <c r="C425" s="251" t="s">
        <v>1985</v>
      </c>
      <c r="D425" s="251" t="s">
        <v>892</v>
      </c>
      <c r="E425" s="251"/>
      <c r="F425" s="252" t="s">
        <v>43</v>
      </c>
      <c r="G425" s="284" t="s">
        <v>94</v>
      </c>
      <c r="H425" s="285" t="s">
        <v>51</v>
      </c>
      <c r="I425" s="257" t="s">
        <v>2472</v>
      </c>
      <c r="J425" s="251" t="s">
        <v>18</v>
      </c>
      <c r="K425" s="255" t="s">
        <v>22</v>
      </c>
    </row>
    <row r="426" spans="1:17" ht="12.75" customHeight="1" x14ac:dyDescent="0.2">
      <c r="A426" s="249">
        <v>38593</v>
      </c>
      <c r="B426" s="250" t="s">
        <v>380</v>
      </c>
      <c r="C426" s="257" t="s">
        <v>378</v>
      </c>
      <c r="D426" s="257" t="s">
        <v>381</v>
      </c>
      <c r="E426" s="257" t="s">
        <v>2374</v>
      </c>
      <c r="F426" s="252" t="s">
        <v>43</v>
      </c>
      <c r="G426" s="284" t="s">
        <v>67</v>
      </c>
      <c r="H426" s="285" t="s">
        <v>45</v>
      </c>
      <c r="I426" s="257" t="s">
        <v>2472</v>
      </c>
      <c r="J426" s="257" t="s">
        <v>18</v>
      </c>
      <c r="K426" s="255" t="s">
        <v>22</v>
      </c>
    </row>
    <row r="427" spans="1:17" ht="12.75" customHeight="1" x14ac:dyDescent="0.2">
      <c r="A427" s="249">
        <v>38717</v>
      </c>
      <c r="B427" s="250" t="s">
        <v>1900</v>
      </c>
      <c r="C427" s="251" t="s">
        <v>643</v>
      </c>
      <c r="D427" s="251" t="s">
        <v>64</v>
      </c>
      <c r="E427" s="251"/>
      <c r="F427" s="252" t="s">
        <v>43</v>
      </c>
      <c r="G427" s="284" t="s">
        <v>44</v>
      </c>
      <c r="H427" s="285"/>
      <c r="I427" s="257" t="s">
        <v>2472</v>
      </c>
      <c r="J427" s="251" t="s">
        <v>18</v>
      </c>
      <c r="K427" s="255" t="s">
        <v>22</v>
      </c>
      <c r="L427" s="281"/>
      <c r="M427" s="281"/>
      <c r="N427" s="281"/>
      <c r="Q427" s="283"/>
    </row>
    <row r="428" spans="1:17" ht="12.75" customHeight="1" x14ac:dyDescent="0.2">
      <c r="A428" s="249">
        <v>38800</v>
      </c>
      <c r="B428" s="250" t="s">
        <v>2172</v>
      </c>
      <c r="C428" s="251" t="s">
        <v>2173</v>
      </c>
      <c r="D428" s="251" t="s">
        <v>711</v>
      </c>
      <c r="E428" s="251"/>
      <c r="F428" s="252" t="s">
        <v>43</v>
      </c>
      <c r="G428" s="284" t="s">
        <v>94</v>
      </c>
      <c r="H428" s="285" t="s">
        <v>45</v>
      </c>
      <c r="I428" s="257" t="s">
        <v>2472</v>
      </c>
      <c r="J428" s="251" t="s">
        <v>18</v>
      </c>
      <c r="K428" s="255" t="s">
        <v>22</v>
      </c>
    </row>
    <row r="429" spans="1:17" ht="12.75" customHeight="1" x14ac:dyDescent="0.2">
      <c r="A429" s="249">
        <v>38732</v>
      </c>
      <c r="B429" s="250" t="s">
        <v>1901</v>
      </c>
      <c r="C429" s="251" t="s">
        <v>1902</v>
      </c>
      <c r="D429" s="251" t="s">
        <v>53</v>
      </c>
      <c r="E429" s="251"/>
      <c r="F429" s="252" t="s">
        <v>43</v>
      </c>
      <c r="G429" s="284" t="s">
        <v>44</v>
      </c>
      <c r="H429" s="285" t="s">
        <v>180</v>
      </c>
      <c r="I429" s="257" t="s">
        <v>2472</v>
      </c>
      <c r="J429" s="251" t="s">
        <v>18</v>
      </c>
      <c r="K429" s="255" t="s">
        <v>22</v>
      </c>
    </row>
    <row r="430" spans="1:17" ht="12.75" customHeight="1" x14ac:dyDescent="0.2">
      <c r="A430" s="249">
        <v>38745</v>
      </c>
      <c r="B430" s="250" t="s">
        <v>1986</v>
      </c>
      <c r="C430" s="251" t="s">
        <v>1987</v>
      </c>
      <c r="D430" s="251" t="s">
        <v>179</v>
      </c>
      <c r="E430" s="251"/>
      <c r="F430" s="252" t="s">
        <v>43</v>
      </c>
      <c r="G430" s="284" t="s">
        <v>44</v>
      </c>
      <c r="H430" s="285" t="s">
        <v>180</v>
      </c>
      <c r="I430" s="257" t="s">
        <v>2472</v>
      </c>
      <c r="J430" s="251" t="s">
        <v>18</v>
      </c>
      <c r="K430" s="255" t="s">
        <v>22</v>
      </c>
    </row>
    <row r="431" spans="1:17" ht="12.75" customHeight="1" x14ac:dyDescent="0.2">
      <c r="A431" s="249">
        <v>38913</v>
      </c>
      <c r="B431" s="250" t="s">
        <v>2473</v>
      </c>
      <c r="C431" s="251" t="s">
        <v>2474</v>
      </c>
      <c r="D431" s="251" t="s">
        <v>720</v>
      </c>
      <c r="E431" s="251"/>
      <c r="F431" s="252" t="s">
        <v>49</v>
      </c>
      <c r="G431" s="253" t="s">
        <v>340</v>
      </c>
      <c r="H431" s="254">
        <v>0</v>
      </c>
      <c r="I431" s="257" t="s">
        <v>2472</v>
      </c>
      <c r="J431" s="251" t="s">
        <v>18</v>
      </c>
      <c r="K431" s="255" t="s">
        <v>22</v>
      </c>
      <c r="L431" s="281"/>
      <c r="M431" s="281"/>
      <c r="N431" s="281"/>
      <c r="Q431" s="283"/>
    </row>
    <row r="432" spans="1:17" ht="12.75" customHeight="1" x14ac:dyDescent="0.2">
      <c r="A432" s="249">
        <v>38747</v>
      </c>
      <c r="B432" s="250" t="s">
        <v>1988</v>
      </c>
      <c r="C432" s="251" t="s">
        <v>1989</v>
      </c>
      <c r="D432" s="251" t="s">
        <v>191</v>
      </c>
      <c r="E432" s="251"/>
      <c r="F432" s="252" t="s">
        <v>43</v>
      </c>
      <c r="G432" s="284" t="s">
        <v>94</v>
      </c>
      <c r="H432" s="285" t="s">
        <v>45</v>
      </c>
      <c r="I432" s="257" t="s">
        <v>2472</v>
      </c>
      <c r="J432" s="251" t="s">
        <v>18</v>
      </c>
      <c r="K432" s="255" t="s">
        <v>22</v>
      </c>
    </row>
    <row r="433" spans="1:17" ht="12.75" customHeight="1" x14ac:dyDescent="0.2">
      <c r="A433" s="249">
        <v>15911</v>
      </c>
      <c r="B433" s="250" t="s">
        <v>105</v>
      </c>
      <c r="C433" s="251" t="s">
        <v>106</v>
      </c>
      <c r="D433" s="251" t="s">
        <v>107</v>
      </c>
      <c r="E433" s="251"/>
      <c r="F433" s="252" t="s">
        <v>43</v>
      </c>
      <c r="G433" s="284" t="s">
        <v>52</v>
      </c>
      <c r="H433" s="285" t="s">
        <v>66</v>
      </c>
      <c r="I433" s="257" t="s">
        <v>2472</v>
      </c>
      <c r="J433" s="251" t="s">
        <v>18</v>
      </c>
      <c r="K433" s="255" t="s">
        <v>22</v>
      </c>
    </row>
    <row r="434" spans="1:17" ht="12.75" customHeight="1" x14ac:dyDescent="0.2">
      <c r="A434" s="249" t="s">
        <v>2475</v>
      </c>
      <c r="B434" s="250" t="s">
        <v>890</v>
      </c>
      <c r="C434" s="251" t="s">
        <v>891</v>
      </c>
      <c r="D434" s="251" t="s">
        <v>64</v>
      </c>
      <c r="E434" s="251"/>
      <c r="F434" s="252" t="s">
        <v>43</v>
      </c>
      <c r="G434" s="284" t="s">
        <v>67</v>
      </c>
      <c r="H434" s="285" t="s">
        <v>66</v>
      </c>
      <c r="I434" s="257" t="s">
        <v>2472</v>
      </c>
      <c r="J434" s="251" t="s">
        <v>18</v>
      </c>
      <c r="K434" s="255" t="s">
        <v>22</v>
      </c>
    </row>
    <row r="435" spans="1:17" ht="12.75" customHeight="1" x14ac:dyDescent="0.2">
      <c r="A435" s="249">
        <v>25082</v>
      </c>
      <c r="B435" s="250" t="s">
        <v>1177</v>
      </c>
      <c r="C435" s="251" t="s">
        <v>345</v>
      </c>
      <c r="D435" s="251" t="s">
        <v>59</v>
      </c>
      <c r="E435" s="251"/>
      <c r="F435" s="252" t="s">
        <v>43</v>
      </c>
      <c r="G435" s="284" t="s">
        <v>44</v>
      </c>
      <c r="H435" s="285" t="s">
        <v>239</v>
      </c>
      <c r="I435" s="251" t="s">
        <v>846</v>
      </c>
      <c r="J435" s="251" t="s">
        <v>18</v>
      </c>
      <c r="K435" s="255" t="s">
        <v>22</v>
      </c>
    </row>
    <row r="436" spans="1:17" ht="12.75" customHeight="1" x14ac:dyDescent="0.2">
      <c r="A436" s="249">
        <v>38798</v>
      </c>
      <c r="B436" s="250" t="s">
        <v>2169</v>
      </c>
      <c r="C436" s="251" t="s">
        <v>2170</v>
      </c>
      <c r="D436" s="251" t="s">
        <v>2171</v>
      </c>
      <c r="E436" s="251"/>
      <c r="F436" s="252" t="s">
        <v>49</v>
      </c>
      <c r="G436" s="284" t="s">
        <v>139</v>
      </c>
      <c r="H436" s="285" t="s">
        <v>104</v>
      </c>
      <c r="I436" s="251" t="s">
        <v>846</v>
      </c>
      <c r="J436" s="251" t="s">
        <v>18</v>
      </c>
      <c r="K436" s="255" t="s">
        <v>22</v>
      </c>
      <c r="L436" s="281"/>
      <c r="M436" s="281"/>
      <c r="N436" s="281"/>
      <c r="Q436" s="283"/>
    </row>
    <row r="437" spans="1:17" ht="12.75" customHeight="1" x14ac:dyDescent="0.2">
      <c r="A437" s="249">
        <v>38243</v>
      </c>
      <c r="B437" s="250" t="s">
        <v>850</v>
      </c>
      <c r="C437" s="251" t="s">
        <v>86</v>
      </c>
      <c r="D437" s="251" t="s">
        <v>851</v>
      </c>
      <c r="E437" s="251"/>
      <c r="F437" s="252" t="s">
        <v>43</v>
      </c>
      <c r="G437" s="284" t="s">
        <v>52</v>
      </c>
      <c r="H437" s="285"/>
      <c r="I437" s="251" t="s">
        <v>846</v>
      </c>
      <c r="J437" s="251" t="s">
        <v>18</v>
      </c>
      <c r="K437" s="255" t="s">
        <v>22</v>
      </c>
      <c r="L437" s="281"/>
      <c r="M437" s="281"/>
      <c r="N437" s="281"/>
      <c r="Q437" s="283"/>
    </row>
    <row r="438" spans="1:17" ht="12.75" customHeight="1" x14ac:dyDescent="0.2">
      <c r="A438" s="249">
        <v>38044</v>
      </c>
      <c r="B438" s="250" t="s">
        <v>852</v>
      </c>
      <c r="C438" s="251" t="s">
        <v>853</v>
      </c>
      <c r="D438" s="251" t="s">
        <v>143</v>
      </c>
      <c r="E438" s="251"/>
      <c r="F438" s="252" t="s">
        <v>43</v>
      </c>
      <c r="G438" s="284" t="s">
        <v>67</v>
      </c>
      <c r="H438" s="285" t="s">
        <v>66</v>
      </c>
      <c r="I438" s="257" t="s">
        <v>846</v>
      </c>
      <c r="J438" s="251" t="s">
        <v>18</v>
      </c>
      <c r="K438" s="255" t="s">
        <v>22</v>
      </c>
    </row>
    <row r="439" spans="1:17" ht="12.75" customHeight="1" x14ac:dyDescent="0.2">
      <c r="A439" s="249">
        <v>38401</v>
      </c>
      <c r="B439" s="250" t="s">
        <v>854</v>
      </c>
      <c r="C439" s="251" t="s">
        <v>131</v>
      </c>
      <c r="D439" s="251" t="s">
        <v>855</v>
      </c>
      <c r="E439" s="251"/>
      <c r="F439" s="252" t="s">
        <v>49</v>
      </c>
      <c r="G439" s="284" t="s">
        <v>50</v>
      </c>
      <c r="H439" s="285" t="s">
        <v>45</v>
      </c>
      <c r="I439" s="251" t="s">
        <v>846</v>
      </c>
      <c r="J439" s="251" t="s">
        <v>18</v>
      </c>
      <c r="K439" s="255" t="s">
        <v>22</v>
      </c>
    </row>
    <row r="440" spans="1:17" ht="12.75" customHeight="1" x14ac:dyDescent="0.2">
      <c r="A440" s="249">
        <v>16900</v>
      </c>
      <c r="B440" s="250" t="s">
        <v>856</v>
      </c>
      <c r="C440" s="257" t="s">
        <v>857</v>
      </c>
      <c r="D440" s="257" t="s">
        <v>858</v>
      </c>
      <c r="E440" s="257" t="s">
        <v>2374</v>
      </c>
      <c r="F440" s="252" t="s">
        <v>49</v>
      </c>
      <c r="G440" s="284" t="s">
        <v>139</v>
      </c>
      <c r="H440" s="285" t="s">
        <v>66</v>
      </c>
      <c r="I440" s="257" t="s">
        <v>846</v>
      </c>
      <c r="J440" s="257" t="s">
        <v>18</v>
      </c>
      <c r="K440" s="255" t="s">
        <v>22</v>
      </c>
    </row>
    <row r="441" spans="1:17" ht="12.75" customHeight="1" x14ac:dyDescent="0.2">
      <c r="A441" s="249">
        <v>38583</v>
      </c>
      <c r="B441" s="266" t="s">
        <v>859</v>
      </c>
      <c r="C441" s="251" t="s">
        <v>860</v>
      </c>
      <c r="D441" s="251" t="s">
        <v>861</v>
      </c>
      <c r="E441" s="251"/>
      <c r="F441" s="252" t="s">
        <v>43</v>
      </c>
      <c r="G441" s="284" t="s">
        <v>52</v>
      </c>
      <c r="H441" s="285" t="s">
        <v>104</v>
      </c>
      <c r="I441" s="251" t="s">
        <v>846</v>
      </c>
      <c r="J441" s="251" t="s">
        <v>18</v>
      </c>
      <c r="K441" s="255" t="s">
        <v>22</v>
      </c>
    </row>
    <row r="442" spans="1:17" ht="12.75" customHeight="1" x14ac:dyDescent="0.2">
      <c r="A442" s="249">
        <v>38607</v>
      </c>
      <c r="B442" s="266" t="s">
        <v>870</v>
      </c>
      <c r="C442" s="251" t="s">
        <v>1898</v>
      </c>
      <c r="D442" s="251" t="s">
        <v>411</v>
      </c>
      <c r="E442" s="251"/>
      <c r="F442" s="252" t="s">
        <v>49</v>
      </c>
      <c r="G442" s="284" t="s">
        <v>79</v>
      </c>
      <c r="H442" s="285"/>
      <c r="I442" s="251" t="s">
        <v>846</v>
      </c>
      <c r="J442" s="251" t="s">
        <v>18</v>
      </c>
      <c r="K442" s="255" t="s">
        <v>22</v>
      </c>
      <c r="L442" s="281"/>
      <c r="M442" s="281"/>
      <c r="N442" s="281"/>
      <c r="Q442" s="283"/>
    </row>
    <row r="443" spans="1:17" ht="12.75" customHeight="1" x14ac:dyDescent="0.2">
      <c r="A443" s="249">
        <v>38365</v>
      </c>
      <c r="B443" s="250" t="s">
        <v>862</v>
      </c>
      <c r="C443" s="251" t="s">
        <v>863</v>
      </c>
      <c r="D443" s="251" t="s">
        <v>632</v>
      </c>
      <c r="E443" s="251"/>
      <c r="F443" s="252" t="s">
        <v>43</v>
      </c>
      <c r="G443" s="284" t="s">
        <v>67</v>
      </c>
      <c r="H443" s="285" t="s">
        <v>66</v>
      </c>
      <c r="I443" s="257" t="s">
        <v>846</v>
      </c>
      <c r="J443" s="251" t="s">
        <v>18</v>
      </c>
      <c r="K443" s="255" t="s">
        <v>22</v>
      </c>
    </row>
    <row r="444" spans="1:17" ht="12.75" customHeight="1" x14ac:dyDescent="0.2">
      <c r="A444" s="249">
        <v>7787</v>
      </c>
      <c r="B444" s="250" t="s">
        <v>864</v>
      </c>
      <c r="C444" s="251" t="s">
        <v>865</v>
      </c>
      <c r="D444" s="251" t="s">
        <v>866</v>
      </c>
      <c r="E444" s="251"/>
      <c r="F444" s="252" t="s">
        <v>49</v>
      </c>
      <c r="G444" s="284" t="s">
        <v>139</v>
      </c>
      <c r="H444" s="285" t="s">
        <v>45</v>
      </c>
      <c r="I444" s="257" t="s">
        <v>846</v>
      </c>
      <c r="J444" s="251" t="s">
        <v>18</v>
      </c>
      <c r="K444" s="255" t="s">
        <v>22</v>
      </c>
    </row>
    <row r="445" spans="1:17" ht="12.75" customHeight="1" x14ac:dyDescent="0.2">
      <c r="A445" s="249">
        <v>7770</v>
      </c>
      <c r="B445" s="250" t="s">
        <v>867</v>
      </c>
      <c r="C445" s="251" t="s">
        <v>865</v>
      </c>
      <c r="D445" s="251" t="s">
        <v>143</v>
      </c>
      <c r="E445" s="251"/>
      <c r="F445" s="252" t="s">
        <v>43</v>
      </c>
      <c r="G445" s="284" t="s">
        <v>67</v>
      </c>
      <c r="H445" s="285" t="s">
        <v>66</v>
      </c>
      <c r="I445" s="257" t="s">
        <v>846</v>
      </c>
      <c r="J445" s="251" t="s">
        <v>18</v>
      </c>
      <c r="K445" s="255" t="s">
        <v>22</v>
      </c>
    </row>
    <row r="446" spans="1:17" ht="12.75" customHeight="1" x14ac:dyDescent="0.2">
      <c r="A446" s="249">
        <v>38604</v>
      </c>
      <c r="B446" s="266" t="s">
        <v>868</v>
      </c>
      <c r="C446" s="251" t="s">
        <v>869</v>
      </c>
      <c r="D446" s="251" t="s">
        <v>87</v>
      </c>
      <c r="E446" s="251"/>
      <c r="F446" s="252" t="s">
        <v>43</v>
      </c>
      <c r="G446" s="284" t="s">
        <v>44</v>
      </c>
      <c r="H446" s="285"/>
      <c r="I446" s="251" t="s">
        <v>846</v>
      </c>
      <c r="J446" s="251" t="s">
        <v>18</v>
      </c>
      <c r="K446" s="255" t="s">
        <v>22</v>
      </c>
      <c r="L446" s="281"/>
      <c r="M446" s="281"/>
      <c r="N446" s="281"/>
      <c r="Q446" s="283"/>
    </row>
    <row r="447" spans="1:17" ht="12.75" customHeight="1" x14ac:dyDescent="0.2">
      <c r="A447" s="249">
        <v>38210</v>
      </c>
      <c r="B447" s="250" t="s">
        <v>618</v>
      </c>
      <c r="C447" s="251" t="s">
        <v>619</v>
      </c>
      <c r="D447" s="251" t="s">
        <v>339</v>
      </c>
      <c r="E447" s="251"/>
      <c r="F447" s="252" t="s">
        <v>49</v>
      </c>
      <c r="G447" s="284" t="s">
        <v>79</v>
      </c>
      <c r="H447" s="285" t="s">
        <v>51</v>
      </c>
      <c r="I447" s="251" t="s">
        <v>846</v>
      </c>
      <c r="J447" s="251" t="s">
        <v>18</v>
      </c>
      <c r="K447" s="255" t="s">
        <v>22</v>
      </c>
    </row>
    <row r="448" spans="1:17" ht="12.75" customHeight="1" x14ac:dyDescent="0.2">
      <c r="A448" s="249">
        <v>7786</v>
      </c>
      <c r="B448" s="250" t="s">
        <v>873</v>
      </c>
      <c r="C448" s="251" t="s">
        <v>874</v>
      </c>
      <c r="D448" s="251" t="s">
        <v>875</v>
      </c>
      <c r="E448" s="251"/>
      <c r="F448" s="252" t="s">
        <v>49</v>
      </c>
      <c r="G448" s="284" t="s">
        <v>139</v>
      </c>
      <c r="H448" s="285" t="s">
        <v>66</v>
      </c>
      <c r="I448" s="257" t="s">
        <v>846</v>
      </c>
      <c r="J448" s="251" t="s">
        <v>18</v>
      </c>
      <c r="K448" s="255" t="s">
        <v>22</v>
      </c>
    </row>
    <row r="449" spans="1:17" ht="12.75" customHeight="1" x14ac:dyDescent="0.2">
      <c r="A449" s="249">
        <v>7772</v>
      </c>
      <c r="B449" s="250" t="s">
        <v>876</v>
      </c>
      <c r="C449" s="251" t="s">
        <v>874</v>
      </c>
      <c r="D449" s="251" t="s">
        <v>117</v>
      </c>
      <c r="E449" s="251"/>
      <c r="F449" s="252" t="s">
        <v>43</v>
      </c>
      <c r="G449" s="284" t="s">
        <v>67</v>
      </c>
      <c r="H449" s="285" t="s">
        <v>66</v>
      </c>
      <c r="I449" s="257" t="s">
        <v>846</v>
      </c>
      <c r="J449" s="251" t="s">
        <v>18</v>
      </c>
      <c r="K449" s="255" t="s">
        <v>22</v>
      </c>
      <c r="L449" s="281"/>
      <c r="M449" s="281"/>
      <c r="N449" s="281"/>
      <c r="Q449" s="283"/>
    </row>
    <row r="450" spans="1:17" ht="12.75" customHeight="1" x14ac:dyDescent="0.2">
      <c r="A450" s="249">
        <v>38640</v>
      </c>
      <c r="B450" s="250" t="s">
        <v>879</v>
      </c>
      <c r="C450" s="251" t="s">
        <v>880</v>
      </c>
      <c r="D450" s="251" t="s">
        <v>57</v>
      </c>
      <c r="E450" s="251"/>
      <c r="F450" s="252" t="s">
        <v>43</v>
      </c>
      <c r="G450" s="284" t="s">
        <v>52</v>
      </c>
      <c r="H450" s="285" t="s">
        <v>45</v>
      </c>
      <c r="I450" s="251" t="s">
        <v>846</v>
      </c>
      <c r="J450" s="251" t="s">
        <v>18</v>
      </c>
      <c r="K450" s="255" t="s">
        <v>22</v>
      </c>
    </row>
    <row r="451" spans="1:17" ht="12.75" customHeight="1" x14ac:dyDescent="0.2">
      <c r="A451" s="249">
        <v>38554</v>
      </c>
      <c r="B451" s="250" t="s">
        <v>881</v>
      </c>
      <c r="C451" s="257" t="s">
        <v>882</v>
      </c>
      <c r="D451" s="257" t="s">
        <v>87</v>
      </c>
      <c r="E451" s="257" t="s">
        <v>2374</v>
      </c>
      <c r="F451" s="252" t="s">
        <v>43</v>
      </c>
      <c r="G451" s="284" t="s">
        <v>67</v>
      </c>
      <c r="H451" s="285" t="s">
        <v>66</v>
      </c>
      <c r="I451" s="257" t="s">
        <v>846</v>
      </c>
      <c r="J451" s="257" t="s">
        <v>18</v>
      </c>
      <c r="K451" s="255" t="s">
        <v>22</v>
      </c>
    </row>
    <row r="452" spans="1:17" ht="12.75" customHeight="1" x14ac:dyDescent="0.2">
      <c r="A452" s="249">
        <v>25347</v>
      </c>
      <c r="B452" s="250" t="s">
        <v>420</v>
      </c>
      <c r="C452" s="257" t="s">
        <v>421</v>
      </c>
      <c r="D452" s="257" t="s">
        <v>422</v>
      </c>
      <c r="E452" s="257" t="s">
        <v>2374</v>
      </c>
      <c r="F452" s="252" t="s">
        <v>49</v>
      </c>
      <c r="G452" s="284" t="s">
        <v>50</v>
      </c>
      <c r="H452" s="285" t="s">
        <v>45</v>
      </c>
      <c r="I452" s="251" t="s">
        <v>846</v>
      </c>
      <c r="J452" s="257" t="s">
        <v>18</v>
      </c>
      <c r="K452" s="255" t="s">
        <v>22</v>
      </c>
    </row>
    <row r="453" spans="1:17" ht="12.75" customHeight="1" x14ac:dyDescent="0.2">
      <c r="A453" s="249">
        <v>7721</v>
      </c>
      <c r="B453" s="250">
        <v>67657</v>
      </c>
      <c r="C453" s="251" t="s">
        <v>883</v>
      </c>
      <c r="D453" s="251" t="s">
        <v>206</v>
      </c>
      <c r="E453" s="251"/>
      <c r="F453" s="252" t="s">
        <v>43</v>
      </c>
      <c r="G453" s="284" t="s">
        <v>52</v>
      </c>
      <c r="H453" s="285" t="s">
        <v>239</v>
      </c>
      <c r="I453" s="251" t="s">
        <v>846</v>
      </c>
      <c r="J453" s="251" t="s">
        <v>18</v>
      </c>
      <c r="K453" s="255" t="s">
        <v>22</v>
      </c>
    </row>
    <row r="454" spans="1:17" ht="12.75" customHeight="1" x14ac:dyDescent="0.2">
      <c r="A454" s="249">
        <v>7709</v>
      </c>
      <c r="B454" s="250" t="s">
        <v>884</v>
      </c>
      <c r="C454" s="251" t="s">
        <v>883</v>
      </c>
      <c r="D454" s="251" t="s">
        <v>885</v>
      </c>
      <c r="E454" s="251"/>
      <c r="F454" s="252" t="s">
        <v>49</v>
      </c>
      <c r="G454" s="284" t="s">
        <v>50</v>
      </c>
      <c r="H454" s="285" t="s">
        <v>45</v>
      </c>
      <c r="I454" s="251" t="s">
        <v>846</v>
      </c>
      <c r="J454" s="251" t="s">
        <v>18</v>
      </c>
      <c r="K454" s="255" t="s">
        <v>22</v>
      </c>
    </row>
    <row r="455" spans="1:17" ht="12.75" customHeight="1" x14ac:dyDescent="0.2">
      <c r="A455" s="249">
        <v>7801</v>
      </c>
      <c r="B455" s="250">
        <v>9099131</v>
      </c>
      <c r="C455" s="251" t="s">
        <v>883</v>
      </c>
      <c r="D455" s="251" t="s">
        <v>339</v>
      </c>
      <c r="E455" s="251"/>
      <c r="F455" s="252" t="s">
        <v>49</v>
      </c>
      <c r="G455" s="284" t="s">
        <v>79</v>
      </c>
      <c r="H455" s="285" t="s">
        <v>239</v>
      </c>
      <c r="I455" s="251" t="s">
        <v>846</v>
      </c>
      <c r="J455" s="251" t="s">
        <v>18</v>
      </c>
      <c r="K455" s="255" t="s">
        <v>22</v>
      </c>
    </row>
    <row r="456" spans="1:17" ht="12.75" customHeight="1" x14ac:dyDescent="0.2">
      <c r="A456" s="249">
        <v>7723</v>
      </c>
      <c r="B456" s="250" t="s">
        <v>1899</v>
      </c>
      <c r="C456" s="251" t="s">
        <v>883</v>
      </c>
      <c r="D456" s="251" t="s">
        <v>87</v>
      </c>
      <c r="E456" s="251"/>
      <c r="F456" s="252" t="s">
        <v>43</v>
      </c>
      <c r="G456" s="284" t="s">
        <v>44</v>
      </c>
      <c r="H456" s="285" t="s">
        <v>180</v>
      </c>
      <c r="I456" s="251" t="s">
        <v>846</v>
      </c>
      <c r="J456" s="251" t="s">
        <v>18</v>
      </c>
      <c r="K456" s="255" t="s">
        <v>22</v>
      </c>
    </row>
    <row r="457" spans="1:17" ht="12.75" customHeight="1" x14ac:dyDescent="0.2">
      <c r="A457" s="249">
        <v>38854</v>
      </c>
      <c r="B457" s="250" t="s">
        <v>2282</v>
      </c>
      <c r="C457" s="251" t="s">
        <v>2283</v>
      </c>
      <c r="D457" s="251" t="s">
        <v>2284</v>
      </c>
      <c r="E457" s="251"/>
      <c r="F457" s="252" t="s">
        <v>43</v>
      </c>
      <c r="G457" s="284" t="s">
        <v>44</v>
      </c>
      <c r="H457" s="285" t="s">
        <v>239</v>
      </c>
      <c r="I457" s="251" t="s">
        <v>846</v>
      </c>
      <c r="J457" s="251" t="s">
        <v>18</v>
      </c>
      <c r="K457" s="255" t="s">
        <v>22</v>
      </c>
    </row>
    <row r="458" spans="1:17" ht="12.75" customHeight="1" x14ac:dyDescent="0.2">
      <c r="A458" s="249">
        <v>38351</v>
      </c>
      <c r="B458" s="250" t="s">
        <v>886</v>
      </c>
      <c r="C458" s="251" t="s">
        <v>887</v>
      </c>
      <c r="D458" s="251" t="s">
        <v>195</v>
      </c>
      <c r="E458" s="251"/>
      <c r="F458" s="252" t="s">
        <v>43</v>
      </c>
      <c r="G458" s="284" t="s">
        <v>44</v>
      </c>
      <c r="H458" s="285" t="s">
        <v>45</v>
      </c>
      <c r="I458" s="251" t="s">
        <v>846</v>
      </c>
      <c r="J458" s="251" t="s">
        <v>18</v>
      </c>
      <c r="K458" s="255" t="s">
        <v>22</v>
      </c>
    </row>
    <row r="459" spans="1:17" ht="12.75" customHeight="1" x14ac:dyDescent="0.2">
      <c r="A459" s="249">
        <v>25692</v>
      </c>
      <c r="B459" s="250" t="s">
        <v>798</v>
      </c>
      <c r="C459" s="251" t="s">
        <v>799</v>
      </c>
      <c r="D459" s="251" t="s">
        <v>800</v>
      </c>
      <c r="E459" s="251"/>
      <c r="F459" s="252" t="s">
        <v>43</v>
      </c>
      <c r="G459" s="284" t="s">
        <v>67</v>
      </c>
      <c r="H459" s="285" t="s">
        <v>45</v>
      </c>
      <c r="I459" s="251" t="s">
        <v>893</v>
      </c>
      <c r="J459" s="251" t="s">
        <v>18</v>
      </c>
      <c r="K459" s="255" t="s">
        <v>22</v>
      </c>
    </row>
    <row r="460" spans="1:17" ht="12.75" customHeight="1" x14ac:dyDescent="0.2">
      <c r="A460" s="249">
        <v>38774</v>
      </c>
      <c r="B460" s="250" t="s">
        <v>2040</v>
      </c>
      <c r="C460" s="251" t="s">
        <v>2041</v>
      </c>
      <c r="D460" s="251" t="s">
        <v>53</v>
      </c>
      <c r="E460" s="251"/>
      <c r="F460" s="252" t="s">
        <v>43</v>
      </c>
      <c r="G460" s="284" t="s">
        <v>44</v>
      </c>
      <c r="H460" s="285" t="s">
        <v>180</v>
      </c>
      <c r="I460" s="251" t="s">
        <v>893</v>
      </c>
      <c r="J460" s="251" t="s">
        <v>18</v>
      </c>
      <c r="K460" s="255" t="s">
        <v>22</v>
      </c>
      <c r="L460" s="281"/>
      <c r="M460" s="281"/>
      <c r="N460" s="281"/>
      <c r="Q460" s="283"/>
    </row>
    <row r="461" spans="1:17" ht="12.75" customHeight="1" x14ac:dyDescent="0.2">
      <c r="A461" s="249">
        <v>25423</v>
      </c>
      <c r="B461" s="250" t="s">
        <v>848</v>
      </c>
      <c r="C461" s="251" t="s">
        <v>849</v>
      </c>
      <c r="D461" s="251" t="s">
        <v>64</v>
      </c>
      <c r="E461" s="251"/>
      <c r="F461" s="252" t="s">
        <v>43</v>
      </c>
      <c r="G461" s="284" t="s">
        <v>44</v>
      </c>
      <c r="H461" s="285" t="s">
        <v>180</v>
      </c>
      <c r="I461" s="251" t="s">
        <v>893</v>
      </c>
      <c r="J461" s="251" t="s">
        <v>18</v>
      </c>
      <c r="K461" s="255" t="s">
        <v>22</v>
      </c>
    </row>
    <row r="462" spans="1:17" ht="12.75" customHeight="1" x14ac:dyDescent="0.2">
      <c r="A462" s="249">
        <v>38884</v>
      </c>
      <c r="B462" s="250" t="s">
        <v>2342</v>
      </c>
      <c r="C462" s="251" t="s">
        <v>2343</v>
      </c>
      <c r="D462" s="251" t="s">
        <v>2344</v>
      </c>
      <c r="E462" s="251"/>
      <c r="F462" s="252" t="s">
        <v>43</v>
      </c>
      <c r="G462" s="284" t="s">
        <v>44</v>
      </c>
      <c r="H462" s="285" t="s">
        <v>66</v>
      </c>
      <c r="I462" s="251" t="s">
        <v>893</v>
      </c>
      <c r="J462" s="251" t="s">
        <v>18</v>
      </c>
      <c r="K462" s="255" t="s">
        <v>22</v>
      </c>
    </row>
    <row r="463" spans="1:17" ht="12.75" customHeight="1" x14ac:dyDescent="0.2">
      <c r="A463" s="249">
        <v>25923</v>
      </c>
      <c r="B463" s="250">
        <v>9111365</v>
      </c>
      <c r="C463" s="257" t="s">
        <v>894</v>
      </c>
      <c r="D463" s="257" t="s">
        <v>125</v>
      </c>
      <c r="E463" s="257" t="s">
        <v>2374</v>
      </c>
      <c r="F463" s="252" t="s">
        <v>43</v>
      </c>
      <c r="G463" s="284" t="s">
        <v>44</v>
      </c>
      <c r="H463" s="285" t="s">
        <v>180</v>
      </c>
      <c r="I463" s="257" t="s">
        <v>893</v>
      </c>
      <c r="J463" s="257" t="s">
        <v>18</v>
      </c>
      <c r="K463" s="255" t="s">
        <v>22</v>
      </c>
    </row>
    <row r="464" spans="1:17" ht="12.75" customHeight="1" x14ac:dyDescent="0.2">
      <c r="A464" s="249">
        <v>38914</v>
      </c>
      <c r="B464" s="250" t="s">
        <v>2476</v>
      </c>
      <c r="C464" s="251" t="s">
        <v>2111</v>
      </c>
      <c r="D464" s="251" t="s">
        <v>99</v>
      </c>
      <c r="E464" s="251"/>
      <c r="F464" s="252" t="s">
        <v>43</v>
      </c>
      <c r="G464" s="253" t="s">
        <v>44</v>
      </c>
      <c r="H464" s="254">
        <v>0</v>
      </c>
      <c r="I464" s="251" t="s">
        <v>893</v>
      </c>
      <c r="J464" s="251" t="s">
        <v>18</v>
      </c>
      <c r="K464" s="255" t="s">
        <v>22</v>
      </c>
    </row>
    <row r="465" spans="1:17" ht="12.75" customHeight="1" x14ac:dyDescent="0.2">
      <c r="A465" s="249">
        <v>25919</v>
      </c>
      <c r="B465" s="250">
        <v>9111363</v>
      </c>
      <c r="C465" s="257" t="s">
        <v>895</v>
      </c>
      <c r="D465" s="257" t="s">
        <v>896</v>
      </c>
      <c r="E465" s="257" t="s">
        <v>2374</v>
      </c>
      <c r="F465" s="252" t="s">
        <v>43</v>
      </c>
      <c r="G465" s="284" t="s">
        <v>44</v>
      </c>
      <c r="H465" s="285" t="s">
        <v>45</v>
      </c>
      <c r="I465" s="257" t="s">
        <v>893</v>
      </c>
      <c r="J465" s="257" t="s">
        <v>18</v>
      </c>
      <c r="K465" s="255" t="s">
        <v>22</v>
      </c>
    </row>
    <row r="466" spans="1:17" ht="12.75" customHeight="1" x14ac:dyDescent="0.2">
      <c r="A466" s="249">
        <v>38188</v>
      </c>
      <c r="B466" s="250" t="s">
        <v>897</v>
      </c>
      <c r="C466" s="251" t="s">
        <v>898</v>
      </c>
      <c r="D466" s="251" t="s">
        <v>899</v>
      </c>
      <c r="E466" s="251"/>
      <c r="F466" s="252" t="s">
        <v>43</v>
      </c>
      <c r="G466" s="284" t="s">
        <v>67</v>
      </c>
      <c r="H466" s="285" t="s">
        <v>45</v>
      </c>
      <c r="I466" s="251" t="s">
        <v>893</v>
      </c>
      <c r="J466" s="251" t="s">
        <v>18</v>
      </c>
      <c r="K466" s="255" t="s">
        <v>22</v>
      </c>
    </row>
    <row r="467" spans="1:17" ht="12.75" customHeight="1" x14ac:dyDescent="0.2">
      <c r="A467" s="249">
        <v>25433</v>
      </c>
      <c r="B467" s="250" t="s">
        <v>871</v>
      </c>
      <c r="C467" s="257" t="s">
        <v>872</v>
      </c>
      <c r="D467" s="257" t="s">
        <v>65</v>
      </c>
      <c r="E467" s="257" t="s">
        <v>2374</v>
      </c>
      <c r="F467" s="252" t="s">
        <v>43</v>
      </c>
      <c r="G467" s="284" t="s">
        <v>67</v>
      </c>
      <c r="H467" s="285" t="s">
        <v>45</v>
      </c>
      <c r="I467" s="257" t="s">
        <v>893</v>
      </c>
      <c r="J467" s="257" t="s">
        <v>18</v>
      </c>
      <c r="K467" s="255" t="s">
        <v>22</v>
      </c>
    </row>
    <row r="468" spans="1:17" ht="12.75" customHeight="1" x14ac:dyDescent="0.2">
      <c r="A468" s="249">
        <v>16899</v>
      </c>
      <c r="B468" s="250" t="s">
        <v>877</v>
      </c>
      <c r="C468" s="257" t="s">
        <v>878</v>
      </c>
      <c r="D468" s="257" t="s">
        <v>830</v>
      </c>
      <c r="E468" s="257" t="s">
        <v>2374</v>
      </c>
      <c r="F468" s="252" t="s">
        <v>43</v>
      </c>
      <c r="G468" s="284" t="s">
        <v>67</v>
      </c>
      <c r="H468" s="285"/>
      <c r="I468" s="257" t="s">
        <v>893</v>
      </c>
      <c r="J468" s="257" t="s">
        <v>18</v>
      </c>
      <c r="K468" s="255" t="s">
        <v>22</v>
      </c>
    </row>
    <row r="469" spans="1:17" ht="12.75" customHeight="1" x14ac:dyDescent="0.2">
      <c r="A469" s="249">
        <v>19862</v>
      </c>
      <c r="B469" s="250" t="s">
        <v>900</v>
      </c>
      <c r="C469" s="251" t="s">
        <v>901</v>
      </c>
      <c r="D469" s="251" t="s">
        <v>902</v>
      </c>
      <c r="E469" s="251"/>
      <c r="F469" s="252" t="s">
        <v>43</v>
      </c>
      <c r="G469" s="284" t="s">
        <v>67</v>
      </c>
      <c r="H469" s="285" t="s">
        <v>66</v>
      </c>
      <c r="I469" s="251" t="s">
        <v>893</v>
      </c>
      <c r="J469" s="251" t="s">
        <v>18</v>
      </c>
      <c r="K469" s="255" t="s">
        <v>22</v>
      </c>
    </row>
    <row r="470" spans="1:17" ht="12.75" customHeight="1" x14ac:dyDescent="0.2">
      <c r="A470" s="249">
        <v>38299</v>
      </c>
      <c r="B470" s="250" t="s">
        <v>888</v>
      </c>
      <c r="C470" s="251" t="s">
        <v>889</v>
      </c>
      <c r="D470" s="251" t="s">
        <v>689</v>
      </c>
      <c r="E470" s="251"/>
      <c r="F470" s="252" t="s">
        <v>49</v>
      </c>
      <c r="G470" s="284" t="s">
        <v>79</v>
      </c>
      <c r="H470" s="285" t="s">
        <v>66</v>
      </c>
      <c r="I470" s="251" t="s">
        <v>893</v>
      </c>
      <c r="J470" s="251" t="s">
        <v>18</v>
      </c>
      <c r="K470" s="255" t="s">
        <v>22</v>
      </c>
    </row>
    <row r="471" spans="1:17" ht="12.75" customHeight="1" x14ac:dyDescent="0.2">
      <c r="A471" s="249">
        <v>38872</v>
      </c>
      <c r="B471" s="250" t="s">
        <v>2308</v>
      </c>
      <c r="C471" s="251" t="s">
        <v>2309</v>
      </c>
      <c r="D471" s="251" t="s">
        <v>2310</v>
      </c>
      <c r="E471" s="251"/>
      <c r="F471" s="252" t="s">
        <v>43</v>
      </c>
      <c r="G471" s="253" t="s">
        <v>44</v>
      </c>
      <c r="H471" s="254">
        <v>0</v>
      </c>
      <c r="I471" s="257" t="s">
        <v>255</v>
      </c>
      <c r="J471" s="251" t="s">
        <v>18</v>
      </c>
      <c r="K471" s="255" t="s">
        <v>22</v>
      </c>
    </row>
    <row r="472" spans="1:17" ht="12.75" customHeight="1" x14ac:dyDescent="0.2">
      <c r="A472" s="249">
        <v>7076</v>
      </c>
      <c r="B472" s="250">
        <v>9111186</v>
      </c>
      <c r="C472" s="251" t="s">
        <v>908</v>
      </c>
      <c r="D472" s="251" t="s">
        <v>176</v>
      </c>
      <c r="E472" s="251"/>
      <c r="F472" s="252" t="s">
        <v>43</v>
      </c>
      <c r="G472" s="284" t="s">
        <v>58</v>
      </c>
      <c r="H472" s="285" t="s">
        <v>66</v>
      </c>
      <c r="I472" s="251" t="s">
        <v>910</v>
      </c>
      <c r="J472" s="251" t="s">
        <v>20</v>
      </c>
      <c r="K472" s="255" t="s">
        <v>23</v>
      </c>
      <c r="L472" s="281"/>
      <c r="M472" s="281"/>
      <c r="N472" s="281"/>
      <c r="Q472" s="283"/>
    </row>
    <row r="473" spans="1:17" ht="12.75" customHeight="1" x14ac:dyDescent="0.2">
      <c r="A473" s="249">
        <v>7041</v>
      </c>
      <c r="B473" s="250" t="s">
        <v>911</v>
      </c>
      <c r="C473" s="251" t="s">
        <v>446</v>
      </c>
      <c r="D473" s="251" t="s">
        <v>622</v>
      </c>
      <c r="E473" s="251"/>
      <c r="F473" s="252" t="s">
        <v>43</v>
      </c>
      <c r="G473" s="284" t="s">
        <v>58</v>
      </c>
      <c r="H473" s="285" t="s">
        <v>45</v>
      </c>
      <c r="I473" s="251" t="s">
        <v>910</v>
      </c>
      <c r="J473" s="251" t="s">
        <v>20</v>
      </c>
      <c r="K473" s="255" t="s">
        <v>23</v>
      </c>
      <c r="L473" s="281"/>
      <c r="M473" s="281"/>
      <c r="N473" s="281"/>
      <c r="Q473" s="283"/>
    </row>
    <row r="474" spans="1:17" ht="12.75" customHeight="1" x14ac:dyDescent="0.2">
      <c r="A474" s="249">
        <v>25411</v>
      </c>
      <c r="B474" s="250" t="s">
        <v>918</v>
      </c>
      <c r="C474" s="251" t="s">
        <v>917</v>
      </c>
      <c r="D474" s="251" t="s">
        <v>213</v>
      </c>
      <c r="E474" s="251"/>
      <c r="F474" s="252" t="s">
        <v>43</v>
      </c>
      <c r="G474" s="284" t="s">
        <v>52</v>
      </c>
      <c r="H474" s="285" t="s">
        <v>66</v>
      </c>
      <c r="I474" s="251" t="s">
        <v>910</v>
      </c>
      <c r="J474" s="251" t="s">
        <v>20</v>
      </c>
      <c r="K474" s="255" t="s">
        <v>23</v>
      </c>
      <c r="L474" s="281"/>
      <c r="M474" s="281"/>
      <c r="N474" s="281"/>
      <c r="Q474" s="283"/>
    </row>
    <row r="475" spans="1:17" ht="12.75" customHeight="1" x14ac:dyDescent="0.2">
      <c r="A475" s="249">
        <v>25968</v>
      </c>
      <c r="B475" s="250" t="s">
        <v>919</v>
      </c>
      <c r="C475" s="257" t="s">
        <v>920</v>
      </c>
      <c r="D475" s="257" t="s">
        <v>107</v>
      </c>
      <c r="E475" s="257" t="s">
        <v>2374</v>
      </c>
      <c r="F475" s="252" t="s">
        <v>43</v>
      </c>
      <c r="G475" s="284" t="s">
        <v>52</v>
      </c>
      <c r="H475" s="285" t="s">
        <v>45</v>
      </c>
      <c r="I475" s="257" t="s">
        <v>910</v>
      </c>
      <c r="J475" s="257" t="s">
        <v>20</v>
      </c>
      <c r="K475" s="255" t="s">
        <v>23</v>
      </c>
    </row>
    <row r="476" spans="1:17" ht="12.75" customHeight="1" x14ac:dyDescent="0.2">
      <c r="A476" s="249">
        <v>7037</v>
      </c>
      <c r="B476" s="250" t="s">
        <v>921</v>
      </c>
      <c r="C476" s="251" t="s">
        <v>115</v>
      </c>
      <c r="D476" s="251" t="s">
        <v>57</v>
      </c>
      <c r="E476" s="251"/>
      <c r="F476" s="252" t="s">
        <v>43</v>
      </c>
      <c r="G476" s="284" t="s">
        <v>52</v>
      </c>
      <c r="H476" s="285"/>
      <c r="I476" s="251" t="s">
        <v>910</v>
      </c>
      <c r="J476" s="251" t="s">
        <v>20</v>
      </c>
      <c r="K476" s="255" t="s">
        <v>23</v>
      </c>
    </row>
    <row r="477" spans="1:17" ht="12.75" customHeight="1" x14ac:dyDescent="0.2">
      <c r="A477" s="249">
        <v>7030</v>
      </c>
      <c r="B477" s="250" t="s">
        <v>922</v>
      </c>
      <c r="C477" s="251" t="s">
        <v>923</v>
      </c>
      <c r="D477" s="251" t="s">
        <v>99</v>
      </c>
      <c r="E477" s="251"/>
      <c r="F477" s="252" t="s">
        <v>43</v>
      </c>
      <c r="G477" s="284" t="s">
        <v>67</v>
      </c>
      <c r="H477" s="285" t="s">
        <v>45</v>
      </c>
      <c r="I477" s="251" t="s">
        <v>910</v>
      </c>
      <c r="J477" s="251" t="s">
        <v>20</v>
      </c>
      <c r="K477" s="255" t="s">
        <v>23</v>
      </c>
    </row>
    <row r="478" spans="1:17" ht="12.75" customHeight="1" x14ac:dyDescent="0.2">
      <c r="A478" s="249">
        <v>7055</v>
      </c>
      <c r="B478" s="250" t="s">
        <v>924</v>
      </c>
      <c r="C478" s="251" t="s">
        <v>923</v>
      </c>
      <c r="D478" s="251" t="s">
        <v>925</v>
      </c>
      <c r="E478" s="251"/>
      <c r="F478" s="252" t="s">
        <v>49</v>
      </c>
      <c r="G478" s="284" t="s">
        <v>139</v>
      </c>
      <c r="H478" s="285"/>
      <c r="I478" s="251" t="s">
        <v>910</v>
      </c>
      <c r="J478" s="251" t="s">
        <v>20</v>
      </c>
      <c r="K478" s="255" t="s">
        <v>23</v>
      </c>
    </row>
    <row r="479" spans="1:17" ht="12.75" customHeight="1" x14ac:dyDescent="0.2">
      <c r="A479" s="249">
        <v>16325</v>
      </c>
      <c r="B479" s="250" t="s">
        <v>535</v>
      </c>
      <c r="C479" s="251" t="s">
        <v>536</v>
      </c>
      <c r="D479" s="251" t="s">
        <v>537</v>
      </c>
      <c r="E479" s="251"/>
      <c r="F479" s="252" t="s">
        <v>43</v>
      </c>
      <c r="G479" s="284" t="s">
        <v>67</v>
      </c>
      <c r="H479" s="285" t="s">
        <v>66</v>
      </c>
      <c r="I479" s="251" t="s">
        <v>910</v>
      </c>
      <c r="J479" s="251" t="s">
        <v>20</v>
      </c>
      <c r="K479" s="255" t="s">
        <v>23</v>
      </c>
    </row>
    <row r="480" spans="1:17" ht="12.75" customHeight="1" x14ac:dyDescent="0.2">
      <c r="A480" s="249">
        <v>7031</v>
      </c>
      <c r="B480" s="250" t="s">
        <v>931</v>
      </c>
      <c r="C480" s="251" t="s">
        <v>932</v>
      </c>
      <c r="D480" s="251" t="s">
        <v>200</v>
      </c>
      <c r="E480" s="251"/>
      <c r="F480" s="252" t="s">
        <v>43</v>
      </c>
      <c r="G480" s="284" t="s">
        <v>52</v>
      </c>
      <c r="H480" s="285" t="s">
        <v>66</v>
      </c>
      <c r="I480" s="251" t="s">
        <v>910</v>
      </c>
      <c r="J480" s="251" t="s">
        <v>20</v>
      </c>
      <c r="K480" s="255" t="s">
        <v>23</v>
      </c>
    </row>
    <row r="481" spans="1:17" ht="12.75" customHeight="1" x14ac:dyDescent="0.2">
      <c r="A481" s="249">
        <v>7003</v>
      </c>
      <c r="B481" s="250" t="s">
        <v>935</v>
      </c>
      <c r="C481" s="251" t="s">
        <v>936</v>
      </c>
      <c r="D481" s="251" t="s">
        <v>937</v>
      </c>
      <c r="E481" s="251"/>
      <c r="F481" s="252" t="s">
        <v>43</v>
      </c>
      <c r="G481" s="284" t="s">
        <v>52</v>
      </c>
      <c r="H481" s="285" t="s">
        <v>45</v>
      </c>
      <c r="I481" s="251" t="s">
        <v>910</v>
      </c>
      <c r="J481" s="251" t="s">
        <v>20</v>
      </c>
      <c r="K481" s="255" t="s">
        <v>23</v>
      </c>
    </row>
    <row r="482" spans="1:17" ht="12.75" customHeight="1" x14ac:dyDescent="0.2">
      <c r="A482" s="249">
        <v>7058</v>
      </c>
      <c r="B482" s="250" t="s">
        <v>938</v>
      </c>
      <c r="C482" s="251" t="s">
        <v>939</v>
      </c>
      <c r="D482" s="251" t="s">
        <v>614</v>
      </c>
      <c r="E482" s="251"/>
      <c r="F482" s="252" t="s">
        <v>49</v>
      </c>
      <c r="G482" s="284" t="s">
        <v>228</v>
      </c>
      <c r="H482" s="285" t="s">
        <v>51</v>
      </c>
      <c r="I482" s="251" t="s">
        <v>910</v>
      </c>
      <c r="J482" s="251" t="s">
        <v>20</v>
      </c>
      <c r="K482" s="255" t="s">
        <v>23</v>
      </c>
    </row>
    <row r="483" spans="1:17" ht="12.75" customHeight="1" x14ac:dyDescent="0.2">
      <c r="A483" s="249">
        <v>7012</v>
      </c>
      <c r="B483" s="250" t="s">
        <v>940</v>
      </c>
      <c r="C483" s="251" t="s">
        <v>941</v>
      </c>
      <c r="D483" s="251" t="s">
        <v>569</v>
      </c>
      <c r="E483" s="251"/>
      <c r="F483" s="252" t="s">
        <v>43</v>
      </c>
      <c r="G483" s="284" t="s">
        <v>58</v>
      </c>
      <c r="H483" s="285" t="s">
        <v>45</v>
      </c>
      <c r="I483" s="251" t="s">
        <v>910</v>
      </c>
      <c r="J483" s="251" t="s">
        <v>20</v>
      </c>
      <c r="K483" s="255" t="s">
        <v>23</v>
      </c>
    </row>
    <row r="484" spans="1:17" ht="12.75" customHeight="1" x14ac:dyDescent="0.2">
      <c r="A484" s="249">
        <v>7040</v>
      </c>
      <c r="B484" s="250" t="s">
        <v>944</v>
      </c>
      <c r="C484" s="251" t="s">
        <v>945</v>
      </c>
      <c r="D484" s="251" t="s">
        <v>946</v>
      </c>
      <c r="E484" s="251"/>
      <c r="F484" s="252" t="s">
        <v>43</v>
      </c>
      <c r="G484" s="284" t="s">
        <v>58</v>
      </c>
      <c r="H484" s="285"/>
      <c r="I484" s="251" t="s">
        <v>910</v>
      </c>
      <c r="J484" s="251" t="s">
        <v>20</v>
      </c>
      <c r="K484" s="255" t="s">
        <v>23</v>
      </c>
      <c r="L484" s="281"/>
      <c r="M484" s="281"/>
      <c r="N484" s="281"/>
      <c r="Q484" s="283"/>
    </row>
    <row r="485" spans="1:17" ht="12.75" customHeight="1" x14ac:dyDescent="0.2">
      <c r="A485" s="249">
        <v>16790</v>
      </c>
      <c r="B485" s="250" t="s">
        <v>951</v>
      </c>
      <c r="C485" s="251" t="s">
        <v>952</v>
      </c>
      <c r="D485" s="251" t="s">
        <v>61</v>
      </c>
      <c r="E485" s="251"/>
      <c r="F485" s="252" t="s">
        <v>43</v>
      </c>
      <c r="G485" s="284" t="s">
        <v>67</v>
      </c>
      <c r="H485" s="285" t="s">
        <v>45</v>
      </c>
      <c r="I485" s="251" t="s">
        <v>910</v>
      </c>
      <c r="J485" s="251" t="s">
        <v>20</v>
      </c>
      <c r="K485" s="255" t="s">
        <v>23</v>
      </c>
    </row>
    <row r="486" spans="1:17" ht="12.75" customHeight="1" x14ac:dyDescent="0.2">
      <c r="A486" s="249">
        <v>7245</v>
      </c>
      <c r="B486" s="250" t="s">
        <v>964</v>
      </c>
      <c r="C486" s="251" t="s">
        <v>965</v>
      </c>
      <c r="D486" s="251" t="s">
        <v>165</v>
      </c>
      <c r="E486" s="251"/>
      <c r="F486" s="252" t="s">
        <v>43</v>
      </c>
      <c r="G486" s="284" t="s">
        <v>58</v>
      </c>
      <c r="H486" s="285"/>
      <c r="I486" s="251" t="s">
        <v>966</v>
      </c>
      <c r="J486" s="251" t="s">
        <v>967</v>
      </c>
      <c r="K486" s="255" t="s">
        <v>968</v>
      </c>
      <c r="L486" s="281"/>
      <c r="M486" s="281"/>
      <c r="N486" s="281"/>
      <c r="Q486" s="283"/>
    </row>
    <row r="487" spans="1:17" ht="12.75" customHeight="1" x14ac:dyDescent="0.2">
      <c r="A487" s="249">
        <v>38822</v>
      </c>
      <c r="B487" s="250" t="s">
        <v>2174</v>
      </c>
      <c r="C487" s="251" t="s">
        <v>272</v>
      </c>
      <c r="D487" s="251" t="s">
        <v>2175</v>
      </c>
      <c r="E487" s="251"/>
      <c r="F487" s="252" t="s">
        <v>43</v>
      </c>
      <c r="G487" s="284" t="s">
        <v>89</v>
      </c>
      <c r="H487" s="285"/>
      <c r="I487" s="251" t="s">
        <v>966</v>
      </c>
      <c r="J487" s="251" t="s">
        <v>967</v>
      </c>
      <c r="K487" s="255" t="s">
        <v>968</v>
      </c>
    </row>
    <row r="488" spans="1:17" ht="12.75" customHeight="1" x14ac:dyDescent="0.2">
      <c r="A488" s="249">
        <v>38821</v>
      </c>
      <c r="B488" s="250" t="s">
        <v>2176</v>
      </c>
      <c r="C488" s="251" t="s">
        <v>272</v>
      </c>
      <c r="D488" s="251" t="s">
        <v>2177</v>
      </c>
      <c r="E488" s="251"/>
      <c r="F488" s="252" t="s">
        <v>43</v>
      </c>
      <c r="G488" s="253" t="s">
        <v>360</v>
      </c>
      <c r="H488" s="254">
        <v>0</v>
      </c>
      <c r="I488" s="251" t="s">
        <v>966</v>
      </c>
      <c r="J488" s="251" t="s">
        <v>967</v>
      </c>
      <c r="K488" s="255" t="s">
        <v>968</v>
      </c>
      <c r="L488" s="281"/>
      <c r="M488" s="281"/>
      <c r="N488" s="281"/>
      <c r="Q488" s="283"/>
    </row>
    <row r="489" spans="1:17" ht="12.75" customHeight="1" x14ac:dyDescent="0.2">
      <c r="A489" s="249">
        <v>38310</v>
      </c>
      <c r="B489" s="250" t="s">
        <v>2345</v>
      </c>
      <c r="C489" s="251" t="s">
        <v>2346</v>
      </c>
      <c r="D489" s="251" t="s">
        <v>183</v>
      </c>
      <c r="E489" s="251"/>
      <c r="F489" s="252" t="s">
        <v>43</v>
      </c>
      <c r="G489" s="253" t="s">
        <v>67</v>
      </c>
      <c r="H489" s="254">
        <v>0</v>
      </c>
      <c r="I489" s="251" t="s">
        <v>966</v>
      </c>
      <c r="J489" s="251" t="s">
        <v>967</v>
      </c>
      <c r="K489" s="255" t="s">
        <v>968</v>
      </c>
      <c r="L489" s="281"/>
      <c r="M489" s="281"/>
      <c r="N489" s="281"/>
      <c r="Q489" s="283"/>
    </row>
    <row r="490" spans="1:17" ht="12.75" customHeight="1" x14ac:dyDescent="0.2">
      <c r="A490" s="249">
        <v>38816</v>
      </c>
      <c r="B490" s="250" t="s">
        <v>2178</v>
      </c>
      <c r="C490" s="251" t="s">
        <v>2096</v>
      </c>
      <c r="D490" s="251" t="s">
        <v>687</v>
      </c>
      <c r="E490" s="251"/>
      <c r="F490" s="252" t="s">
        <v>43</v>
      </c>
      <c r="G490" s="284" t="s">
        <v>360</v>
      </c>
      <c r="H490" s="285" t="s">
        <v>104</v>
      </c>
      <c r="I490" s="251" t="s">
        <v>966</v>
      </c>
      <c r="J490" s="251" t="s">
        <v>967</v>
      </c>
      <c r="K490" s="255" t="s">
        <v>968</v>
      </c>
    </row>
    <row r="491" spans="1:17" ht="12.75" customHeight="1" x14ac:dyDescent="0.2">
      <c r="A491" s="249">
        <v>38784</v>
      </c>
      <c r="B491" s="250" t="s">
        <v>2095</v>
      </c>
      <c r="C491" s="251" t="s">
        <v>2096</v>
      </c>
      <c r="D491" s="251" t="s">
        <v>632</v>
      </c>
      <c r="E491" s="251"/>
      <c r="F491" s="252" t="s">
        <v>43</v>
      </c>
      <c r="G491" s="284" t="s">
        <v>360</v>
      </c>
      <c r="H491" s="285"/>
      <c r="I491" s="251" t="s">
        <v>966</v>
      </c>
      <c r="J491" s="251" t="s">
        <v>967</v>
      </c>
      <c r="K491" s="255" t="s">
        <v>968</v>
      </c>
      <c r="L491" s="281"/>
      <c r="M491" s="281"/>
      <c r="N491" s="281"/>
      <c r="Q491" s="283"/>
    </row>
    <row r="492" spans="1:17" ht="12.75" customHeight="1" x14ac:dyDescent="0.2">
      <c r="A492" s="249">
        <v>38783</v>
      </c>
      <c r="B492" s="250" t="s">
        <v>2097</v>
      </c>
      <c r="C492" s="251" t="s">
        <v>2096</v>
      </c>
      <c r="D492" s="251" t="s">
        <v>179</v>
      </c>
      <c r="E492" s="251"/>
      <c r="F492" s="252" t="s">
        <v>43</v>
      </c>
      <c r="G492" s="284" t="s">
        <v>89</v>
      </c>
      <c r="H492" s="285" t="s">
        <v>104</v>
      </c>
      <c r="I492" s="251" t="s">
        <v>966</v>
      </c>
      <c r="J492" s="251" t="s">
        <v>967</v>
      </c>
      <c r="K492" s="255" t="s">
        <v>968</v>
      </c>
    </row>
    <row r="493" spans="1:17" ht="12.75" customHeight="1" x14ac:dyDescent="0.2">
      <c r="A493" s="249">
        <v>38889</v>
      </c>
      <c r="B493" s="250" t="s">
        <v>2347</v>
      </c>
      <c r="C493" s="251" t="s">
        <v>970</v>
      </c>
      <c r="D493" s="251" t="s">
        <v>1277</v>
      </c>
      <c r="E493" s="251"/>
      <c r="F493" s="252" t="s">
        <v>49</v>
      </c>
      <c r="G493" s="284" t="s">
        <v>139</v>
      </c>
      <c r="H493" s="285"/>
      <c r="I493" s="251" t="s">
        <v>966</v>
      </c>
      <c r="J493" s="251" t="s">
        <v>967</v>
      </c>
      <c r="K493" s="255" t="s">
        <v>968</v>
      </c>
    </row>
    <row r="494" spans="1:17" ht="12.75" customHeight="1" x14ac:dyDescent="0.2">
      <c r="A494" s="249">
        <v>38541</v>
      </c>
      <c r="B494" s="250" t="s">
        <v>969</v>
      </c>
      <c r="C494" s="251" t="s">
        <v>970</v>
      </c>
      <c r="D494" s="251" t="s">
        <v>125</v>
      </c>
      <c r="E494" s="251"/>
      <c r="F494" s="252" t="s">
        <v>43</v>
      </c>
      <c r="G494" s="284" t="s">
        <v>360</v>
      </c>
      <c r="H494" s="285" t="s">
        <v>66</v>
      </c>
      <c r="I494" s="251" t="s">
        <v>966</v>
      </c>
      <c r="J494" s="251" t="s">
        <v>967</v>
      </c>
      <c r="K494" s="255" t="s">
        <v>968</v>
      </c>
    </row>
    <row r="495" spans="1:17" ht="12.75" customHeight="1" x14ac:dyDescent="0.2">
      <c r="A495" s="249">
        <v>25785</v>
      </c>
      <c r="B495" s="250">
        <v>9062978</v>
      </c>
      <c r="C495" s="251" t="s">
        <v>970</v>
      </c>
      <c r="D495" s="251" t="s">
        <v>179</v>
      </c>
      <c r="E495" s="251"/>
      <c r="F495" s="252" t="s">
        <v>43</v>
      </c>
      <c r="G495" s="284" t="s">
        <v>67</v>
      </c>
      <c r="H495" s="285" t="s">
        <v>45</v>
      </c>
      <c r="I495" s="251" t="s">
        <v>966</v>
      </c>
      <c r="J495" s="251" t="s">
        <v>967</v>
      </c>
      <c r="K495" s="255" t="s">
        <v>968</v>
      </c>
    </row>
    <row r="496" spans="1:17" ht="12.75" customHeight="1" x14ac:dyDescent="0.2">
      <c r="A496" s="249">
        <v>38818</v>
      </c>
      <c r="B496" s="250" t="s">
        <v>2179</v>
      </c>
      <c r="C496" s="251" t="s">
        <v>2180</v>
      </c>
      <c r="D496" s="251" t="s">
        <v>1106</v>
      </c>
      <c r="E496" s="251"/>
      <c r="F496" s="252" t="s">
        <v>49</v>
      </c>
      <c r="G496" s="284" t="s">
        <v>773</v>
      </c>
      <c r="H496" s="285"/>
      <c r="I496" s="251" t="s">
        <v>966</v>
      </c>
      <c r="J496" s="251" t="s">
        <v>967</v>
      </c>
      <c r="K496" s="255" t="s">
        <v>968</v>
      </c>
      <c r="L496" s="281"/>
      <c r="M496" s="281"/>
      <c r="N496" s="281"/>
      <c r="Q496" s="283"/>
    </row>
    <row r="497" spans="1:17" ht="12.75" customHeight="1" x14ac:dyDescent="0.2">
      <c r="A497" s="249">
        <v>38817</v>
      </c>
      <c r="B497" s="250" t="s">
        <v>2181</v>
      </c>
      <c r="C497" s="251" t="s">
        <v>2180</v>
      </c>
      <c r="D497" s="251" t="s">
        <v>2182</v>
      </c>
      <c r="E497" s="251"/>
      <c r="F497" s="252" t="s">
        <v>49</v>
      </c>
      <c r="G497" s="284" t="s">
        <v>773</v>
      </c>
      <c r="H497" s="285" t="s">
        <v>104</v>
      </c>
      <c r="I497" s="251" t="s">
        <v>966</v>
      </c>
      <c r="J497" s="251" t="s">
        <v>967</v>
      </c>
      <c r="K497" s="255" t="s">
        <v>968</v>
      </c>
    </row>
    <row r="498" spans="1:17" ht="12.75" customHeight="1" x14ac:dyDescent="0.2">
      <c r="A498" s="249">
        <v>38712</v>
      </c>
      <c r="B498" s="250" t="s">
        <v>971</v>
      </c>
      <c r="C498" s="251" t="s">
        <v>972</v>
      </c>
      <c r="D498" s="251" t="s">
        <v>333</v>
      </c>
      <c r="E498" s="251"/>
      <c r="F498" s="252" t="s">
        <v>43</v>
      </c>
      <c r="G498" s="284" t="s">
        <v>52</v>
      </c>
      <c r="H498" s="285"/>
      <c r="I498" s="251" t="s">
        <v>966</v>
      </c>
      <c r="J498" s="251" t="s">
        <v>967</v>
      </c>
      <c r="K498" s="255" t="s">
        <v>968</v>
      </c>
    </row>
    <row r="499" spans="1:17" ht="12.75" customHeight="1" x14ac:dyDescent="0.2">
      <c r="A499" s="249">
        <v>38820</v>
      </c>
      <c r="B499" s="250" t="s">
        <v>2183</v>
      </c>
      <c r="C499" s="251" t="s">
        <v>974</v>
      </c>
      <c r="D499" s="251" t="s">
        <v>531</v>
      </c>
      <c r="E499" s="251"/>
      <c r="F499" s="252" t="s">
        <v>49</v>
      </c>
      <c r="G499" s="253" t="s">
        <v>79</v>
      </c>
      <c r="H499" s="254">
        <v>0</v>
      </c>
      <c r="I499" s="251" t="s">
        <v>966</v>
      </c>
      <c r="J499" s="251" t="s">
        <v>967</v>
      </c>
      <c r="K499" s="255" t="s">
        <v>968</v>
      </c>
    </row>
    <row r="500" spans="1:17" ht="12.75" customHeight="1" x14ac:dyDescent="0.2">
      <c r="A500" s="249">
        <v>38357</v>
      </c>
      <c r="B500" s="250" t="s">
        <v>973</v>
      </c>
      <c r="C500" s="251" t="s">
        <v>974</v>
      </c>
      <c r="D500" s="251" t="s">
        <v>827</v>
      </c>
      <c r="E500" s="251"/>
      <c r="F500" s="252" t="s">
        <v>43</v>
      </c>
      <c r="G500" s="284" t="s">
        <v>44</v>
      </c>
      <c r="H500" s="285" t="s">
        <v>45</v>
      </c>
      <c r="I500" s="251" t="s">
        <v>966</v>
      </c>
      <c r="J500" s="251" t="s">
        <v>967</v>
      </c>
      <c r="K500" s="255" t="s">
        <v>968</v>
      </c>
    </row>
    <row r="501" spans="1:17" ht="12.75" customHeight="1" x14ac:dyDescent="0.2">
      <c r="A501" s="249">
        <v>16820</v>
      </c>
      <c r="B501" s="250">
        <v>9016427</v>
      </c>
      <c r="C501" s="251" t="s">
        <v>975</v>
      </c>
      <c r="D501" s="251" t="s">
        <v>644</v>
      </c>
      <c r="E501" s="251"/>
      <c r="F501" s="252" t="s">
        <v>43</v>
      </c>
      <c r="G501" s="284" t="s">
        <v>52</v>
      </c>
      <c r="H501" s="285"/>
      <c r="I501" s="251" t="s">
        <v>966</v>
      </c>
      <c r="J501" s="251" t="s">
        <v>967</v>
      </c>
      <c r="K501" s="255" t="s">
        <v>968</v>
      </c>
      <c r="L501" s="281"/>
      <c r="M501" s="281"/>
      <c r="N501" s="281"/>
      <c r="Q501" s="283"/>
    </row>
    <row r="502" spans="1:17" ht="12.75" customHeight="1" x14ac:dyDescent="0.2">
      <c r="A502" s="249">
        <v>38307</v>
      </c>
      <c r="B502" s="250" t="s">
        <v>976</v>
      </c>
      <c r="C502" s="251" t="s">
        <v>977</v>
      </c>
      <c r="D502" s="251" t="s">
        <v>540</v>
      </c>
      <c r="E502" s="251"/>
      <c r="F502" s="252" t="s">
        <v>43</v>
      </c>
      <c r="G502" s="284" t="s">
        <v>52</v>
      </c>
      <c r="H502" s="285" t="s">
        <v>45</v>
      </c>
      <c r="I502" s="251" t="s">
        <v>966</v>
      </c>
      <c r="J502" s="251" t="s">
        <v>967</v>
      </c>
      <c r="K502" s="255" t="s">
        <v>968</v>
      </c>
    </row>
    <row r="503" spans="1:17" ht="12.75" customHeight="1" x14ac:dyDescent="0.2">
      <c r="A503" s="249">
        <v>38305</v>
      </c>
      <c r="B503" s="250" t="s">
        <v>978</v>
      </c>
      <c r="C503" s="251" t="s">
        <v>979</v>
      </c>
      <c r="D503" s="251" t="s">
        <v>99</v>
      </c>
      <c r="E503" s="251"/>
      <c r="F503" s="252" t="s">
        <v>43</v>
      </c>
      <c r="G503" s="284" t="s">
        <v>94</v>
      </c>
      <c r="H503" s="285" t="s">
        <v>180</v>
      </c>
      <c r="I503" s="251" t="s">
        <v>966</v>
      </c>
      <c r="J503" s="251" t="s">
        <v>967</v>
      </c>
      <c r="K503" s="255" t="s">
        <v>968</v>
      </c>
    </row>
    <row r="504" spans="1:17" ht="12.75" customHeight="1" x14ac:dyDescent="0.2">
      <c r="A504" s="249">
        <v>38864</v>
      </c>
      <c r="B504" s="250" t="s">
        <v>2285</v>
      </c>
      <c r="C504" s="251" t="s">
        <v>979</v>
      </c>
      <c r="D504" s="251" t="s">
        <v>531</v>
      </c>
      <c r="E504" s="251"/>
      <c r="F504" s="252" t="s">
        <v>49</v>
      </c>
      <c r="G504" s="284" t="s">
        <v>340</v>
      </c>
      <c r="H504" s="285" t="s">
        <v>104</v>
      </c>
      <c r="I504" s="251" t="s">
        <v>966</v>
      </c>
      <c r="J504" s="251" t="s">
        <v>967</v>
      </c>
      <c r="K504" s="255" t="s">
        <v>968</v>
      </c>
      <c r="L504" s="281"/>
      <c r="M504" s="281"/>
      <c r="N504" s="281"/>
      <c r="Q504" s="283"/>
    </row>
    <row r="505" spans="1:17" ht="12.75" customHeight="1" x14ac:dyDescent="0.2">
      <c r="A505" s="249">
        <v>38860</v>
      </c>
      <c r="B505" s="250" t="s">
        <v>2286</v>
      </c>
      <c r="C505" s="251" t="s">
        <v>2287</v>
      </c>
      <c r="D505" s="251" t="s">
        <v>122</v>
      </c>
      <c r="E505" s="251"/>
      <c r="F505" s="252" t="s">
        <v>43</v>
      </c>
      <c r="G505" s="284" t="s">
        <v>44</v>
      </c>
      <c r="H505" s="285"/>
      <c r="I505" s="251" t="s">
        <v>966</v>
      </c>
      <c r="J505" s="251" t="s">
        <v>967</v>
      </c>
      <c r="K505" s="255" t="s">
        <v>968</v>
      </c>
    </row>
    <row r="506" spans="1:17" ht="12.75" customHeight="1" x14ac:dyDescent="0.2">
      <c r="A506" s="249">
        <v>7253</v>
      </c>
      <c r="B506" s="250" t="s">
        <v>980</v>
      </c>
      <c r="C506" s="251" t="s">
        <v>981</v>
      </c>
      <c r="D506" s="251" t="s">
        <v>982</v>
      </c>
      <c r="E506" s="251"/>
      <c r="F506" s="252" t="s">
        <v>43</v>
      </c>
      <c r="G506" s="284" t="s">
        <v>67</v>
      </c>
      <c r="H506" s="285"/>
      <c r="I506" s="251" t="s">
        <v>966</v>
      </c>
      <c r="J506" s="251" t="s">
        <v>967</v>
      </c>
      <c r="K506" s="255" t="s">
        <v>968</v>
      </c>
    </row>
    <row r="507" spans="1:17" ht="12.75" customHeight="1" x14ac:dyDescent="0.2">
      <c r="A507" s="249">
        <v>38337</v>
      </c>
      <c r="B507" s="250" t="s">
        <v>983</v>
      </c>
      <c r="C507" s="251" t="s">
        <v>981</v>
      </c>
      <c r="D507" s="251" t="s">
        <v>984</v>
      </c>
      <c r="E507" s="251"/>
      <c r="F507" s="252" t="s">
        <v>43</v>
      </c>
      <c r="G507" s="284" t="s">
        <v>94</v>
      </c>
      <c r="H507" s="285" t="s">
        <v>66</v>
      </c>
      <c r="I507" s="251" t="s">
        <v>966</v>
      </c>
      <c r="J507" s="251" t="s">
        <v>967</v>
      </c>
      <c r="K507" s="255" t="s">
        <v>968</v>
      </c>
      <c r="L507" s="281"/>
      <c r="M507" s="281"/>
      <c r="N507" s="281"/>
      <c r="Q507" s="283"/>
    </row>
    <row r="508" spans="1:17" ht="12.75" customHeight="1" x14ac:dyDescent="0.2">
      <c r="A508" s="249">
        <v>38865</v>
      </c>
      <c r="B508" s="250" t="s">
        <v>2288</v>
      </c>
      <c r="C508" s="251" t="s">
        <v>2289</v>
      </c>
      <c r="D508" s="251" t="s">
        <v>379</v>
      </c>
      <c r="E508" s="251"/>
      <c r="F508" s="252" t="s">
        <v>43</v>
      </c>
      <c r="G508" s="284" t="s">
        <v>89</v>
      </c>
      <c r="H508" s="285" t="s">
        <v>104</v>
      </c>
      <c r="I508" s="251" t="s">
        <v>966</v>
      </c>
      <c r="J508" s="251" t="s">
        <v>967</v>
      </c>
      <c r="K508" s="255" t="s">
        <v>968</v>
      </c>
      <c r="L508" s="281"/>
      <c r="M508" s="281"/>
      <c r="N508" s="281"/>
      <c r="Q508" s="283"/>
    </row>
    <row r="509" spans="1:17" ht="12.75" customHeight="1" x14ac:dyDescent="0.2">
      <c r="A509" s="249">
        <v>38308</v>
      </c>
      <c r="B509" s="250" t="s">
        <v>985</v>
      </c>
      <c r="C509" s="251" t="s">
        <v>986</v>
      </c>
      <c r="D509" s="251" t="s">
        <v>987</v>
      </c>
      <c r="E509" s="251"/>
      <c r="F509" s="252" t="s">
        <v>43</v>
      </c>
      <c r="G509" s="284" t="s">
        <v>52</v>
      </c>
      <c r="H509" s="285" t="s">
        <v>180</v>
      </c>
      <c r="I509" s="251" t="s">
        <v>966</v>
      </c>
      <c r="J509" s="251" t="s">
        <v>967</v>
      </c>
      <c r="K509" s="255" t="s">
        <v>968</v>
      </c>
    </row>
    <row r="510" spans="1:17" ht="12.75" customHeight="1" x14ac:dyDescent="0.2">
      <c r="A510" s="249">
        <v>38905</v>
      </c>
      <c r="B510" s="250" t="s">
        <v>2477</v>
      </c>
      <c r="C510" s="251" t="s">
        <v>2478</v>
      </c>
      <c r="D510" s="251" t="s">
        <v>2479</v>
      </c>
      <c r="E510" s="251"/>
      <c r="F510" s="252" t="s">
        <v>49</v>
      </c>
      <c r="G510" s="284" t="s">
        <v>773</v>
      </c>
      <c r="H510" s="285"/>
      <c r="I510" s="251" t="s">
        <v>966</v>
      </c>
      <c r="J510" s="251" t="s">
        <v>967</v>
      </c>
      <c r="K510" s="255" t="s">
        <v>968</v>
      </c>
    </row>
    <row r="511" spans="1:17" ht="12.75" customHeight="1" x14ac:dyDescent="0.2">
      <c r="A511" s="249">
        <v>38103</v>
      </c>
      <c r="B511" s="250" t="s">
        <v>988</v>
      </c>
      <c r="C511" s="251" t="s">
        <v>989</v>
      </c>
      <c r="D511" s="251" t="s">
        <v>331</v>
      </c>
      <c r="E511" s="251"/>
      <c r="F511" s="252" t="s">
        <v>43</v>
      </c>
      <c r="G511" s="284" t="s">
        <v>44</v>
      </c>
      <c r="H511" s="285"/>
      <c r="I511" s="251" t="s">
        <v>966</v>
      </c>
      <c r="J511" s="251" t="s">
        <v>967</v>
      </c>
      <c r="K511" s="255" t="s">
        <v>968</v>
      </c>
    </row>
    <row r="512" spans="1:17" ht="12.75" customHeight="1" x14ac:dyDescent="0.2">
      <c r="A512" s="249">
        <v>38819</v>
      </c>
      <c r="B512" s="250" t="s">
        <v>2184</v>
      </c>
      <c r="C512" s="251" t="s">
        <v>2185</v>
      </c>
      <c r="D512" s="251" t="s">
        <v>738</v>
      </c>
      <c r="E512" s="251"/>
      <c r="F512" s="252" t="s">
        <v>43</v>
      </c>
      <c r="G512" s="284" t="s">
        <v>2052</v>
      </c>
      <c r="H512" s="285" t="s">
        <v>104</v>
      </c>
      <c r="I512" s="251" t="s">
        <v>966</v>
      </c>
      <c r="J512" s="251" t="s">
        <v>967</v>
      </c>
      <c r="K512" s="255" t="s">
        <v>968</v>
      </c>
    </row>
    <row r="513" spans="1:17" ht="12.75" customHeight="1" x14ac:dyDescent="0.2">
      <c r="A513" s="249">
        <v>38563</v>
      </c>
      <c r="B513" s="250" t="s">
        <v>991</v>
      </c>
      <c r="C513" s="251" t="s">
        <v>992</v>
      </c>
      <c r="D513" s="251" t="s">
        <v>169</v>
      </c>
      <c r="E513" s="251"/>
      <c r="F513" s="252" t="s">
        <v>43</v>
      </c>
      <c r="G513" s="284" t="s">
        <v>94</v>
      </c>
      <c r="H513" s="285" t="s">
        <v>66</v>
      </c>
      <c r="I513" s="251" t="s">
        <v>966</v>
      </c>
      <c r="J513" s="251" t="s">
        <v>967</v>
      </c>
      <c r="K513" s="255" t="s">
        <v>968</v>
      </c>
      <c r="L513" s="281"/>
      <c r="M513" s="281"/>
      <c r="N513" s="281"/>
      <c r="Q513" s="283"/>
    </row>
    <row r="514" spans="1:17" ht="12.75" customHeight="1" x14ac:dyDescent="0.2">
      <c r="A514" s="249">
        <v>38339</v>
      </c>
      <c r="B514" s="250" t="s">
        <v>993</v>
      </c>
      <c r="C514" s="251" t="s">
        <v>994</v>
      </c>
      <c r="D514" s="251" t="s">
        <v>995</v>
      </c>
      <c r="E514" s="251"/>
      <c r="F514" s="252" t="s">
        <v>43</v>
      </c>
      <c r="G514" s="284" t="s">
        <v>94</v>
      </c>
      <c r="H514" s="285"/>
      <c r="I514" s="251" t="s">
        <v>966</v>
      </c>
      <c r="J514" s="251" t="s">
        <v>967</v>
      </c>
      <c r="K514" s="255" t="s">
        <v>968</v>
      </c>
    </row>
    <row r="515" spans="1:17" ht="12.75" customHeight="1" x14ac:dyDescent="0.2">
      <c r="A515" s="249">
        <v>38714</v>
      </c>
      <c r="B515" s="250" t="s">
        <v>1903</v>
      </c>
      <c r="C515" s="251" t="s">
        <v>1904</v>
      </c>
      <c r="D515" s="251" t="s">
        <v>990</v>
      </c>
      <c r="E515" s="251"/>
      <c r="F515" s="252" t="s">
        <v>43</v>
      </c>
      <c r="G515" s="284" t="s">
        <v>360</v>
      </c>
      <c r="H515" s="285" t="s">
        <v>104</v>
      </c>
      <c r="I515" s="251" t="s">
        <v>966</v>
      </c>
      <c r="J515" s="251" t="s">
        <v>967</v>
      </c>
      <c r="K515" s="255" t="s">
        <v>968</v>
      </c>
    </row>
    <row r="516" spans="1:17" ht="12.75" customHeight="1" x14ac:dyDescent="0.2">
      <c r="A516" s="249">
        <v>16746</v>
      </c>
      <c r="B516" s="250" t="s">
        <v>996</v>
      </c>
      <c r="C516" s="251" t="s">
        <v>908</v>
      </c>
      <c r="D516" s="251" t="s">
        <v>473</v>
      </c>
      <c r="E516" s="251"/>
      <c r="F516" s="252" t="s">
        <v>49</v>
      </c>
      <c r="G516" s="284" t="s">
        <v>50</v>
      </c>
      <c r="H516" s="285" t="s">
        <v>66</v>
      </c>
      <c r="I516" s="251" t="s">
        <v>997</v>
      </c>
      <c r="J516" s="251" t="s">
        <v>15</v>
      </c>
      <c r="K516" s="255" t="s">
        <v>26</v>
      </c>
      <c r="L516" s="281"/>
      <c r="M516" s="281"/>
      <c r="N516" s="281"/>
      <c r="Q516" s="283"/>
    </row>
    <row r="517" spans="1:17" ht="12.75" customHeight="1" x14ac:dyDescent="0.2">
      <c r="A517" s="249">
        <v>16443</v>
      </c>
      <c r="B517" s="250" t="s">
        <v>998</v>
      </c>
      <c r="C517" s="251" t="s">
        <v>125</v>
      </c>
      <c r="D517" s="251" t="s">
        <v>238</v>
      </c>
      <c r="E517" s="251"/>
      <c r="F517" s="252" t="s">
        <v>43</v>
      </c>
      <c r="G517" s="284" t="s">
        <v>44</v>
      </c>
      <c r="H517" s="285" t="s">
        <v>180</v>
      </c>
      <c r="I517" s="251" t="s">
        <v>997</v>
      </c>
      <c r="J517" s="251" t="s">
        <v>15</v>
      </c>
      <c r="K517" s="255" t="s">
        <v>26</v>
      </c>
    </row>
    <row r="518" spans="1:17" ht="12.75" customHeight="1" x14ac:dyDescent="0.2">
      <c r="A518" s="249">
        <v>16432</v>
      </c>
      <c r="B518" s="250" t="s">
        <v>999</v>
      </c>
      <c r="C518" s="251" t="s">
        <v>1000</v>
      </c>
      <c r="D518" s="251" t="s">
        <v>622</v>
      </c>
      <c r="E518" s="251"/>
      <c r="F518" s="252" t="s">
        <v>43</v>
      </c>
      <c r="G518" s="284" t="s">
        <v>58</v>
      </c>
      <c r="H518" s="285" t="s">
        <v>66</v>
      </c>
      <c r="I518" s="251" t="s">
        <v>997</v>
      </c>
      <c r="J518" s="251" t="s">
        <v>15</v>
      </c>
      <c r="K518" s="255" t="s">
        <v>26</v>
      </c>
      <c r="L518" s="281"/>
      <c r="M518" s="281"/>
      <c r="N518" s="281"/>
      <c r="Q518" s="283"/>
    </row>
    <row r="519" spans="1:17" ht="12.75" customHeight="1" x14ac:dyDescent="0.2">
      <c r="A519" s="249">
        <v>16437</v>
      </c>
      <c r="B519" s="250" t="s">
        <v>1001</v>
      </c>
      <c r="C519" s="251" t="s">
        <v>1002</v>
      </c>
      <c r="D519" s="251" t="s">
        <v>908</v>
      </c>
      <c r="E519" s="251"/>
      <c r="F519" s="252" t="s">
        <v>43</v>
      </c>
      <c r="G519" s="284" t="s">
        <v>58</v>
      </c>
      <c r="H519" s="285" t="s">
        <v>51</v>
      </c>
      <c r="I519" s="251" t="s">
        <v>997</v>
      </c>
      <c r="J519" s="251" t="s">
        <v>15</v>
      </c>
      <c r="K519" s="255" t="s">
        <v>26</v>
      </c>
      <c r="L519" s="281"/>
      <c r="M519" s="281"/>
      <c r="N519" s="281"/>
      <c r="Q519" s="283"/>
    </row>
    <row r="520" spans="1:17" ht="12.75" customHeight="1" x14ac:dyDescent="0.2">
      <c r="A520" s="249">
        <v>16493</v>
      </c>
      <c r="B520" s="250" t="s">
        <v>1003</v>
      </c>
      <c r="C520" s="251" t="s">
        <v>1004</v>
      </c>
      <c r="D520" s="251" t="s">
        <v>1005</v>
      </c>
      <c r="E520" s="251"/>
      <c r="F520" s="252" t="s">
        <v>43</v>
      </c>
      <c r="G520" s="284" t="s">
        <v>52</v>
      </c>
      <c r="H520" s="285" t="s">
        <v>45</v>
      </c>
      <c r="I520" s="251" t="s">
        <v>997</v>
      </c>
      <c r="J520" s="251" t="s">
        <v>15</v>
      </c>
      <c r="K520" s="255" t="s">
        <v>26</v>
      </c>
    </row>
    <row r="521" spans="1:17" ht="12.75" customHeight="1" x14ac:dyDescent="0.2">
      <c r="A521" s="249">
        <v>38791</v>
      </c>
      <c r="B521" s="250" t="s">
        <v>2186</v>
      </c>
      <c r="C521" s="251" t="s">
        <v>2187</v>
      </c>
      <c r="D521" s="251" t="s">
        <v>107</v>
      </c>
      <c r="E521" s="251"/>
      <c r="F521" s="252" t="s">
        <v>43</v>
      </c>
      <c r="G521" s="284" t="s">
        <v>67</v>
      </c>
      <c r="H521" s="285" t="s">
        <v>104</v>
      </c>
      <c r="I521" s="251" t="s">
        <v>997</v>
      </c>
      <c r="J521" s="251" t="s">
        <v>15</v>
      </c>
      <c r="K521" s="255" t="s">
        <v>26</v>
      </c>
    </row>
    <row r="522" spans="1:17" ht="12.75" customHeight="1" x14ac:dyDescent="0.2">
      <c r="A522" s="249">
        <v>38804</v>
      </c>
      <c r="B522" s="250" t="s">
        <v>2188</v>
      </c>
      <c r="C522" s="251" t="s">
        <v>2189</v>
      </c>
      <c r="D522" s="251" t="s">
        <v>1715</v>
      </c>
      <c r="E522" s="251"/>
      <c r="F522" s="252" t="s">
        <v>43</v>
      </c>
      <c r="G522" s="284" t="s">
        <v>52</v>
      </c>
      <c r="H522" s="285" t="s">
        <v>104</v>
      </c>
      <c r="I522" s="251" t="s">
        <v>997</v>
      </c>
      <c r="J522" s="251" t="s">
        <v>15</v>
      </c>
      <c r="K522" s="255" t="s">
        <v>26</v>
      </c>
    </row>
    <row r="523" spans="1:17" ht="12.75" customHeight="1" x14ac:dyDescent="0.2">
      <c r="A523" s="249">
        <v>38917</v>
      </c>
      <c r="B523" s="250" t="s">
        <v>2480</v>
      </c>
      <c r="C523" s="251" t="s">
        <v>1007</v>
      </c>
      <c r="D523" s="251" t="s">
        <v>1648</v>
      </c>
      <c r="E523" s="251"/>
      <c r="F523" s="252" t="s">
        <v>43</v>
      </c>
      <c r="G523" s="284" t="s">
        <v>94</v>
      </c>
      <c r="H523" s="285">
        <v>0</v>
      </c>
      <c r="I523" s="251" t="s">
        <v>997</v>
      </c>
      <c r="J523" s="251" t="s">
        <v>15</v>
      </c>
      <c r="K523" s="255" t="s">
        <v>26</v>
      </c>
    </row>
    <row r="524" spans="1:17" ht="12.75" customHeight="1" x14ac:dyDescent="0.2">
      <c r="A524" s="249">
        <v>16501</v>
      </c>
      <c r="B524" s="250" t="s">
        <v>1006</v>
      </c>
      <c r="C524" s="251" t="s">
        <v>1007</v>
      </c>
      <c r="D524" s="251" t="s">
        <v>169</v>
      </c>
      <c r="E524" s="251"/>
      <c r="F524" s="252" t="s">
        <v>43</v>
      </c>
      <c r="G524" s="284" t="s">
        <v>67</v>
      </c>
      <c r="H524" s="285" t="s">
        <v>180</v>
      </c>
      <c r="I524" s="251" t="s">
        <v>997</v>
      </c>
      <c r="J524" s="251" t="s">
        <v>15</v>
      </c>
      <c r="K524" s="255" t="s">
        <v>26</v>
      </c>
    </row>
    <row r="525" spans="1:17" ht="12.75" customHeight="1" x14ac:dyDescent="0.2">
      <c r="A525" s="249">
        <v>16438</v>
      </c>
      <c r="B525" s="250" t="s">
        <v>1008</v>
      </c>
      <c r="C525" s="251" t="s">
        <v>1009</v>
      </c>
      <c r="D525" s="251" t="s">
        <v>331</v>
      </c>
      <c r="E525" s="251"/>
      <c r="F525" s="252" t="s">
        <v>43</v>
      </c>
      <c r="G525" s="284" t="s">
        <v>44</v>
      </c>
      <c r="H525" s="285" t="s">
        <v>66</v>
      </c>
      <c r="I525" s="251" t="s">
        <v>997</v>
      </c>
      <c r="J525" s="251" t="s">
        <v>15</v>
      </c>
      <c r="K525" s="255" t="s">
        <v>26</v>
      </c>
    </row>
    <row r="526" spans="1:17" ht="12.75" customHeight="1" x14ac:dyDescent="0.2">
      <c r="A526" s="249">
        <v>16431</v>
      </c>
      <c r="B526" s="250" t="s">
        <v>1010</v>
      </c>
      <c r="C526" s="251" t="s">
        <v>1009</v>
      </c>
      <c r="D526" s="251" t="s">
        <v>169</v>
      </c>
      <c r="E526" s="251"/>
      <c r="F526" s="252" t="s">
        <v>43</v>
      </c>
      <c r="G526" s="284" t="s">
        <v>44</v>
      </c>
      <c r="H526" s="285" t="s">
        <v>45</v>
      </c>
      <c r="I526" s="251" t="s">
        <v>997</v>
      </c>
      <c r="J526" s="251" t="s">
        <v>15</v>
      </c>
      <c r="K526" s="255" t="s">
        <v>26</v>
      </c>
    </row>
    <row r="527" spans="1:17" ht="12.75" customHeight="1" x14ac:dyDescent="0.2">
      <c r="A527" s="249">
        <v>16439</v>
      </c>
      <c r="B527" s="250" t="s">
        <v>1011</v>
      </c>
      <c r="C527" s="251" t="s">
        <v>1009</v>
      </c>
      <c r="D527" s="251" t="s">
        <v>1012</v>
      </c>
      <c r="E527" s="251"/>
      <c r="F527" s="252" t="s">
        <v>43</v>
      </c>
      <c r="G527" s="284" t="s">
        <v>52</v>
      </c>
      <c r="H527" s="285" t="s">
        <v>45</v>
      </c>
      <c r="I527" s="251" t="s">
        <v>997</v>
      </c>
      <c r="J527" s="251" t="s">
        <v>15</v>
      </c>
      <c r="K527" s="255" t="s">
        <v>26</v>
      </c>
    </row>
    <row r="528" spans="1:17" ht="12.75" customHeight="1" x14ac:dyDescent="0.2">
      <c r="A528" s="249">
        <v>16430</v>
      </c>
      <c r="B528" s="250" t="s">
        <v>1013</v>
      </c>
      <c r="C528" s="251" t="s">
        <v>1014</v>
      </c>
      <c r="D528" s="251" t="s">
        <v>550</v>
      </c>
      <c r="E528" s="251"/>
      <c r="F528" s="252" t="s">
        <v>43</v>
      </c>
      <c r="G528" s="284" t="s">
        <v>52</v>
      </c>
      <c r="H528" s="285" t="s">
        <v>66</v>
      </c>
      <c r="I528" s="251" t="s">
        <v>997</v>
      </c>
      <c r="J528" s="251" t="s">
        <v>15</v>
      </c>
      <c r="K528" s="255" t="s">
        <v>26</v>
      </c>
    </row>
    <row r="529" spans="1:17" ht="12.75" customHeight="1" x14ac:dyDescent="0.2">
      <c r="A529" s="249">
        <v>7393</v>
      </c>
      <c r="B529" s="250" t="s">
        <v>1015</v>
      </c>
      <c r="C529" s="251" t="s">
        <v>1016</v>
      </c>
      <c r="D529" s="251" t="s">
        <v>80</v>
      </c>
      <c r="E529" s="251"/>
      <c r="F529" s="252" t="s">
        <v>43</v>
      </c>
      <c r="G529" s="284" t="s">
        <v>67</v>
      </c>
      <c r="H529" s="285" t="s">
        <v>66</v>
      </c>
      <c r="I529" s="251" t="s">
        <v>1017</v>
      </c>
      <c r="J529" s="251" t="s">
        <v>16</v>
      </c>
      <c r="K529" s="255" t="s">
        <v>1018</v>
      </c>
      <c r="L529" s="281"/>
      <c r="M529" s="281"/>
      <c r="N529" s="281"/>
      <c r="Q529" s="283"/>
    </row>
    <row r="530" spans="1:17" ht="12.75" customHeight="1" x14ac:dyDescent="0.2">
      <c r="A530" s="249">
        <v>7387</v>
      </c>
      <c r="B530" s="250" t="s">
        <v>2018</v>
      </c>
      <c r="C530" s="251" t="s">
        <v>1019</v>
      </c>
      <c r="D530" s="251" t="s">
        <v>1020</v>
      </c>
      <c r="E530" s="251"/>
      <c r="F530" s="252" t="s">
        <v>43</v>
      </c>
      <c r="G530" s="284" t="s">
        <v>52</v>
      </c>
      <c r="H530" s="285" t="s">
        <v>45</v>
      </c>
      <c r="I530" s="251" t="s">
        <v>1017</v>
      </c>
      <c r="J530" s="251" t="s">
        <v>16</v>
      </c>
      <c r="K530" s="255" t="s">
        <v>1018</v>
      </c>
      <c r="L530" s="281"/>
      <c r="M530" s="281"/>
      <c r="N530" s="281"/>
      <c r="Q530" s="283"/>
    </row>
    <row r="531" spans="1:17" ht="12.75" customHeight="1" x14ac:dyDescent="0.2">
      <c r="A531" s="249">
        <v>25638</v>
      </c>
      <c r="B531" s="250" t="s">
        <v>1021</v>
      </c>
      <c r="C531" s="251" t="s">
        <v>70</v>
      </c>
      <c r="D531" s="251" t="s">
        <v>132</v>
      </c>
      <c r="E531" s="251"/>
      <c r="F531" s="252" t="s">
        <v>43</v>
      </c>
      <c r="G531" s="284" t="s">
        <v>44</v>
      </c>
      <c r="H531" s="285" t="s">
        <v>180</v>
      </c>
      <c r="I531" s="251" t="s">
        <v>1017</v>
      </c>
      <c r="J531" s="251" t="s">
        <v>16</v>
      </c>
      <c r="K531" s="255" t="s">
        <v>1018</v>
      </c>
      <c r="L531" s="281"/>
      <c r="M531" s="281"/>
      <c r="N531" s="281"/>
      <c r="Q531" s="283"/>
    </row>
    <row r="532" spans="1:17" ht="12.75" customHeight="1" x14ac:dyDescent="0.2">
      <c r="A532" s="249">
        <v>7390</v>
      </c>
      <c r="B532" s="250">
        <v>65102</v>
      </c>
      <c r="C532" s="251" t="s">
        <v>2190</v>
      </c>
      <c r="D532" s="251" t="s">
        <v>481</v>
      </c>
      <c r="E532" s="251"/>
      <c r="F532" s="252" t="s">
        <v>43</v>
      </c>
      <c r="G532" s="251" t="s">
        <v>52</v>
      </c>
      <c r="H532" s="267">
        <v>0</v>
      </c>
      <c r="I532" s="251" t="s">
        <v>1017</v>
      </c>
      <c r="J532" s="251" t="s">
        <v>16</v>
      </c>
      <c r="K532" s="255" t="s">
        <v>1018</v>
      </c>
      <c r="L532" s="281"/>
      <c r="M532" s="281"/>
      <c r="N532" s="281"/>
      <c r="Q532" s="283"/>
    </row>
    <row r="533" spans="1:17" ht="12.75" customHeight="1" x14ac:dyDescent="0.2">
      <c r="A533" s="249">
        <v>25727</v>
      </c>
      <c r="B533" s="250" t="s">
        <v>2019</v>
      </c>
      <c r="C533" s="251" t="s">
        <v>575</v>
      </c>
      <c r="D533" s="251" t="s">
        <v>1022</v>
      </c>
      <c r="E533" s="251"/>
      <c r="F533" s="252" t="s">
        <v>43</v>
      </c>
      <c r="G533" s="284" t="s">
        <v>67</v>
      </c>
      <c r="H533" s="285"/>
      <c r="I533" s="251" t="s">
        <v>1017</v>
      </c>
      <c r="J533" s="251" t="s">
        <v>16</v>
      </c>
      <c r="K533" s="255" t="s">
        <v>1018</v>
      </c>
    </row>
    <row r="534" spans="1:17" ht="12.75" customHeight="1" x14ac:dyDescent="0.2">
      <c r="A534" s="249">
        <v>16809</v>
      </c>
      <c r="B534" s="250" t="s">
        <v>2191</v>
      </c>
      <c r="C534" s="251" t="s">
        <v>2192</v>
      </c>
      <c r="D534" s="251" t="s">
        <v>195</v>
      </c>
      <c r="E534" s="251"/>
      <c r="F534" s="252" t="s">
        <v>43</v>
      </c>
      <c r="G534" s="284" t="s">
        <v>44</v>
      </c>
      <c r="H534" s="285" t="s">
        <v>66</v>
      </c>
      <c r="I534" s="251" t="s">
        <v>1017</v>
      </c>
      <c r="J534" s="251" t="s">
        <v>16</v>
      </c>
      <c r="K534" s="255" t="s">
        <v>1018</v>
      </c>
    </row>
    <row r="535" spans="1:17" ht="12.75" customHeight="1" x14ac:dyDescent="0.2">
      <c r="A535" s="249">
        <v>7397</v>
      </c>
      <c r="B535" s="250" t="s">
        <v>2020</v>
      </c>
      <c r="C535" s="251" t="s">
        <v>1023</v>
      </c>
      <c r="D535" s="251" t="s">
        <v>206</v>
      </c>
      <c r="E535" s="251"/>
      <c r="F535" s="252" t="s">
        <v>43</v>
      </c>
      <c r="G535" s="284" t="s">
        <v>52</v>
      </c>
      <c r="H535" s="285"/>
      <c r="I535" s="251" t="s">
        <v>1017</v>
      </c>
      <c r="J535" s="251" t="s">
        <v>16</v>
      </c>
      <c r="K535" s="255" t="s">
        <v>1018</v>
      </c>
    </row>
    <row r="536" spans="1:17" ht="12.75" customHeight="1" x14ac:dyDescent="0.2">
      <c r="A536" s="249">
        <v>7388</v>
      </c>
      <c r="B536" s="250" t="s">
        <v>2021</v>
      </c>
      <c r="C536" s="257" t="s">
        <v>1024</v>
      </c>
      <c r="D536" s="257" t="s">
        <v>1025</v>
      </c>
      <c r="E536" s="257" t="s">
        <v>2374</v>
      </c>
      <c r="F536" s="252" t="s">
        <v>43</v>
      </c>
      <c r="G536" s="253" t="s">
        <v>58</v>
      </c>
      <c r="H536" s="254">
        <v>0</v>
      </c>
      <c r="I536" s="257" t="s">
        <v>1017</v>
      </c>
      <c r="J536" s="257" t="s">
        <v>16</v>
      </c>
      <c r="K536" s="255" t="s">
        <v>1018</v>
      </c>
    </row>
    <row r="537" spans="1:17" ht="12.75" customHeight="1" x14ac:dyDescent="0.2">
      <c r="A537" s="249">
        <v>7395</v>
      </c>
      <c r="B537" s="250" t="s">
        <v>2022</v>
      </c>
      <c r="C537" s="251" t="s">
        <v>1026</v>
      </c>
      <c r="D537" s="251" t="s">
        <v>282</v>
      </c>
      <c r="E537" s="251"/>
      <c r="F537" s="252" t="s">
        <v>43</v>
      </c>
      <c r="G537" s="284" t="s">
        <v>44</v>
      </c>
      <c r="H537" s="285" t="s">
        <v>66</v>
      </c>
      <c r="I537" s="251" t="s">
        <v>1017</v>
      </c>
      <c r="J537" s="251" t="s">
        <v>16</v>
      </c>
      <c r="K537" s="255" t="s">
        <v>1018</v>
      </c>
    </row>
    <row r="538" spans="1:17" ht="12.75" customHeight="1" x14ac:dyDescent="0.2">
      <c r="A538" s="249">
        <v>38521</v>
      </c>
      <c r="B538" s="250" t="s">
        <v>1027</v>
      </c>
      <c r="C538" s="251" t="s">
        <v>1028</v>
      </c>
      <c r="D538" s="251" t="s">
        <v>143</v>
      </c>
      <c r="E538" s="251"/>
      <c r="F538" s="252" t="s">
        <v>43</v>
      </c>
      <c r="G538" s="284" t="s">
        <v>67</v>
      </c>
      <c r="H538" s="285"/>
      <c r="I538" s="251" t="s">
        <v>1017</v>
      </c>
      <c r="J538" s="251" t="s">
        <v>16</v>
      </c>
      <c r="K538" s="255" t="s">
        <v>1018</v>
      </c>
    </row>
    <row r="539" spans="1:17" ht="12.75" customHeight="1" x14ac:dyDescent="0.2">
      <c r="A539" s="249">
        <v>7394</v>
      </c>
      <c r="B539" s="250">
        <v>610890</v>
      </c>
      <c r="C539" s="251" t="s">
        <v>1029</v>
      </c>
      <c r="D539" s="251" t="s">
        <v>622</v>
      </c>
      <c r="E539" s="251"/>
      <c r="F539" s="252" t="s">
        <v>43</v>
      </c>
      <c r="G539" s="284" t="s">
        <v>52</v>
      </c>
      <c r="H539" s="285" t="s">
        <v>45</v>
      </c>
      <c r="I539" s="251" t="s">
        <v>1017</v>
      </c>
      <c r="J539" s="251" t="s">
        <v>16</v>
      </c>
      <c r="K539" s="255" t="s">
        <v>1018</v>
      </c>
    </row>
    <row r="540" spans="1:17" ht="12.75" customHeight="1" x14ac:dyDescent="0.2">
      <c r="A540" s="249">
        <v>38807</v>
      </c>
      <c r="B540" s="250" t="s">
        <v>2193</v>
      </c>
      <c r="C540" s="251" t="s">
        <v>2194</v>
      </c>
      <c r="D540" s="251" t="s">
        <v>132</v>
      </c>
      <c r="E540" s="251"/>
      <c r="F540" s="252" t="s">
        <v>43</v>
      </c>
      <c r="G540" s="284" t="s">
        <v>44</v>
      </c>
      <c r="H540" s="285"/>
      <c r="I540" s="251" t="s">
        <v>1017</v>
      </c>
      <c r="J540" s="251" t="s">
        <v>16</v>
      </c>
      <c r="K540" s="255" t="s">
        <v>1018</v>
      </c>
    </row>
    <row r="541" spans="1:17" ht="12.75" customHeight="1" x14ac:dyDescent="0.2">
      <c r="A541" s="249">
        <v>16894</v>
      </c>
      <c r="B541" s="250" t="s">
        <v>1030</v>
      </c>
      <c r="C541" s="251" t="s">
        <v>1031</v>
      </c>
      <c r="D541" s="251" t="s">
        <v>833</v>
      </c>
      <c r="E541" s="251"/>
      <c r="F541" s="252" t="s">
        <v>43</v>
      </c>
      <c r="G541" s="284" t="s">
        <v>44</v>
      </c>
      <c r="H541" s="285" t="s">
        <v>45</v>
      </c>
      <c r="I541" s="251" t="s">
        <v>1017</v>
      </c>
      <c r="J541" s="251" t="s">
        <v>16</v>
      </c>
      <c r="K541" s="255" t="s">
        <v>1018</v>
      </c>
    </row>
    <row r="542" spans="1:17" ht="12.75" customHeight="1" x14ac:dyDescent="0.2">
      <c r="A542" s="249">
        <v>7396</v>
      </c>
      <c r="B542" s="250" t="s">
        <v>1032</v>
      </c>
      <c r="C542" s="251" t="s">
        <v>1033</v>
      </c>
      <c r="D542" s="251" t="s">
        <v>99</v>
      </c>
      <c r="E542" s="251"/>
      <c r="F542" s="252" t="s">
        <v>43</v>
      </c>
      <c r="G542" s="284" t="s">
        <v>44</v>
      </c>
      <c r="H542" s="285" t="s">
        <v>45</v>
      </c>
      <c r="I542" s="251" t="s">
        <v>1017</v>
      </c>
      <c r="J542" s="251" t="s">
        <v>16</v>
      </c>
      <c r="K542" s="255" t="s">
        <v>1018</v>
      </c>
    </row>
    <row r="543" spans="1:17" ht="12.75" customHeight="1" x14ac:dyDescent="0.2">
      <c r="A543" s="249">
        <v>16972</v>
      </c>
      <c r="B543" s="250" t="s">
        <v>2023</v>
      </c>
      <c r="C543" s="251" t="s">
        <v>1034</v>
      </c>
      <c r="D543" s="251" t="s">
        <v>82</v>
      </c>
      <c r="E543" s="251"/>
      <c r="F543" s="252" t="s">
        <v>43</v>
      </c>
      <c r="G543" s="253" t="s">
        <v>44</v>
      </c>
      <c r="H543" s="254">
        <v>0</v>
      </c>
      <c r="I543" s="251" t="s">
        <v>1017</v>
      </c>
      <c r="J543" s="251" t="s">
        <v>16</v>
      </c>
      <c r="K543" s="255" t="s">
        <v>1018</v>
      </c>
    </row>
    <row r="544" spans="1:17" ht="12.75" customHeight="1" x14ac:dyDescent="0.2">
      <c r="A544" s="249">
        <v>25130</v>
      </c>
      <c r="B544" s="250" t="s">
        <v>1035</v>
      </c>
      <c r="C544" s="251" t="s">
        <v>1036</v>
      </c>
      <c r="D544" s="251" t="s">
        <v>644</v>
      </c>
      <c r="E544" s="251"/>
      <c r="F544" s="252" t="s">
        <v>43</v>
      </c>
      <c r="G544" s="284" t="s">
        <v>52</v>
      </c>
      <c r="H544" s="285" t="s">
        <v>66</v>
      </c>
      <c r="I544" s="251" t="s">
        <v>1037</v>
      </c>
      <c r="J544" s="251" t="s">
        <v>1038</v>
      </c>
      <c r="K544" s="255" t="s">
        <v>1039</v>
      </c>
    </row>
    <row r="545" spans="1:17" ht="12.75" customHeight="1" x14ac:dyDescent="0.2">
      <c r="A545" s="249">
        <v>7730</v>
      </c>
      <c r="B545" s="250" t="s">
        <v>1041</v>
      </c>
      <c r="C545" s="251" t="s">
        <v>1040</v>
      </c>
      <c r="D545" s="251" t="s">
        <v>61</v>
      </c>
      <c r="E545" s="251"/>
      <c r="F545" s="252" t="s">
        <v>43</v>
      </c>
      <c r="G545" s="284" t="s">
        <v>44</v>
      </c>
      <c r="H545" s="285" t="s">
        <v>180</v>
      </c>
      <c r="I545" s="251" t="s">
        <v>1037</v>
      </c>
      <c r="J545" s="251" t="s">
        <v>1038</v>
      </c>
      <c r="K545" s="255" t="s">
        <v>1039</v>
      </c>
    </row>
    <row r="546" spans="1:17" ht="12.75" customHeight="1" x14ac:dyDescent="0.2">
      <c r="A546" s="249">
        <v>25723</v>
      </c>
      <c r="B546" s="250" t="s">
        <v>1124</v>
      </c>
      <c r="C546" s="251" t="s">
        <v>1125</v>
      </c>
      <c r="D546" s="251" t="s">
        <v>143</v>
      </c>
      <c r="E546" s="251"/>
      <c r="F546" s="252" t="s">
        <v>43</v>
      </c>
      <c r="G546" s="284" t="s">
        <v>44</v>
      </c>
      <c r="H546" s="285" t="s">
        <v>180</v>
      </c>
      <c r="I546" s="251" t="s">
        <v>1037</v>
      </c>
      <c r="J546" s="251" t="s">
        <v>1038</v>
      </c>
      <c r="K546" s="255" t="s">
        <v>1039</v>
      </c>
    </row>
    <row r="547" spans="1:17" ht="12.75" customHeight="1" x14ac:dyDescent="0.2">
      <c r="A547" s="249">
        <v>38570</v>
      </c>
      <c r="B547" s="250" t="s">
        <v>1126</v>
      </c>
      <c r="C547" s="251" t="s">
        <v>1125</v>
      </c>
      <c r="D547" s="251" t="s">
        <v>570</v>
      </c>
      <c r="E547" s="251"/>
      <c r="F547" s="252" t="s">
        <v>43</v>
      </c>
      <c r="G547" s="284" t="s">
        <v>52</v>
      </c>
      <c r="H547" s="285" t="s">
        <v>51</v>
      </c>
      <c r="I547" s="251" t="s">
        <v>1037</v>
      </c>
      <c r="J547" s="251" t="s">
        <v>1038</v>
      </c>
      <c r="K547" s="255" t="s">
        <v>1039</v>
      </c>
    </row>
    <row r="548" spans="1:17" ht="12.75" customHeight="1" x14ac:dyDescent="0.2">
      <c r="A548" s="249">
        <v>25895</v>
      </c>
      <c r="B548" s="250" t="s">
        <v>2195</v>
      </c>
      <c r="C548" s="251" t="s">
        <v>2196</v>
      </c>
      <c r="D548" s="251" t="s">
        <v>61</v>
      </c>
      <c r="E548" s="251"/>
      <c r="F548" s="252" t="s">
        <v>43</v>
      </c>
      <c r="G548" s="284" t="s">
        <v>44</v>
      </c>
      <c r="H548" s="285" t="s">
        <v>45</v>
      </c>
      <c r="I548" s="251" t="s">
        <v>1037</v>
      </c>
      <c r="J548" s="251" t="s">
        <v>1038</v>
      </c>
      <c r="K548" s="255" t="s">
        <v>1039</v>
      </c>
    </row>
    <row r="549" spans="1:17" ht="12.75" customHeight="1" x14ac:dyDescent="0.2">
      <c r="A549" s="249">
        <v>7809</v>
      </c>
      <c r="B549" s="250" t="s">
        <v>1042</v>
      </c>
      <c r="C549" s="251" t="s">
        <v>1043</v>
      </c>
      <c r="D549" s="251" t="s">
        <v>87</v>
      </c>
      <c r="E549" s="251"/>
      <c r="F549" s="252" t="s">
        <v>43</v>
      </c>
      <c r="G549" s="284" t="s">
        <v>67</v>
      </c>
      <c r="H549" s="285"/>
      <c r="I549" s="251" t="s">
        <v>1037</v>
      </c>
      <c r="J549" s="251" t="s">
        <v>1038</v>
      </c>
      <c r="K549" s="255" t="s">
        <v>1039</v>
      </c>
    </row>
    <row r="550" spans="1:17" ht="12.75" customHeight="1" x14ac:dyDescent="0.2">
      <c r="A550" s="249">
        <v>38046</v>
      </c>
      <c r="B550" s="250" t="s">
        <v>1044</v>
      </c>
      <c r="C550" s="251" t="s">
        <v>1045</v>
      </c>
      <c r="D550" s="251" t="s">
        <v>122</v>
      </c>
      <c r="E550" s="251"/>
      <c r="F550" s="252" t="s">
        <v>43</v>
      </c>
      <c r="G550" s="284" t="s">
        <v>44</v>
      </c>
      <c r="H550" s="285" t="s">
        <v>180</v>
      </c>
      <c r="I550" s="251" t="s">
        <v>1037</v>
      </c>
      <c r="J550" s="251" t="s">
        <v>1038</v>
      </c>
      <c r="K550" s="255" t="s">
        <v>1039</v>
      </c>
    </row>
    <row r="551" spans="1:17" ht="12.75" customHeight="1" x14ac:dyDescent="0.2">
      <c r="A551" s="249">
        <v>7816</v>
      </c>
      <c r="B551" s="250" t="s">
        <v>1046</v>
      </c>
      <c r="C551" s="251" t="s">
        <v>1047</v>
      </c>
      <c r="D551" s="251" t="s">
        <v>59</v>
      </c>
      <c r="E551" s="251"/>
      <c r="F551" s="252" t="s">
        <v>43</v>
      </c>
      <c r="G551" s="284" t="s">
        <v>67</v>
      </c>
      <c r="H551" s="285" t="s">
        <v>45</v>
      </c>
      <c r="I551" s="251" t="s">
        <v>1037</v>
      </c>
      <c r="J551" s="251" t="s">
        <v>1038</v>
      </c>
      <c r="K551" s="255" t="s">
        <v>1039</v>
      </c>
    </row>
    <row r="552" spans="1:17" ht="12.75" customHeight="1" x14ac:dyDescent="0.2">
      <c r="A552" s="249">
        <v>7814</v>
      </c>
      <c r="B552" s="250" t="s">
        <v>1048</v>
      </c>
      <c r="C552" s="251" t="s">
        <v>1049</v>
      </c>
      <c r="D552" s="251" t="s">
        <v>644</v>
      </c>
      <c r="E552" s="251"/>
      <c r="F552" s="252" t="s">
        <v>43</v>
      </c>
      <c r="G552" s="284" t="s">
        <v>52</v>
      </c>
      <c r="H552" s="285"/>
      <c r="I552" s="251" t="s">
        <v>1037</v>
      </c>
      <c r="J552" s="251" t="s">
        <v>1038</v>
      </c>
      <c r="K552" s="255" t="s">
        <v>1039</v>
      </c>
    </row>
    <row r="553" spans="1:17" ht="12.75" customHeight="1" x14ac:dyDescent="0.2">
      <c r="A553" s="249">
        <v>38870</v>
      </c>
      <c r="B553" s="250" t="s">
        <v>2311</v>
      </c>
      <c r="C553" s="251" t="s">
        <v>122</v>
      </c>
      <c r="D553" s="251" t="s">
        <v>494</v>
      </c>
      <c r="E553" s="251"/>
      <c r="F553" s="252" t="s">
        <v>43</v>
      </c>
      <c r="G553" s="284" t="s">
        <v>44</v>
      </c>
      <c r="H553" s="285" t="s">
        <v>45</v>
      </c>
      <c r="I553" s="251" t="s">
        <v>1037</v>
      </c>
      <c r="J553" s="251" t="s">
        <v>1038</v>
      </c>
      <c r="K553" s="255" t="s">
        <v>1039</v>
      </c>
    </row>
    <row r="554" spans="1:17" ht="12.75" customHeight="1" x14ac:dyDescent="0.2">
      <c r="A554" s="249">
        <v>7810</v>
      </c>
      <c r="B554" s="250" t="s">
        <v>1050</v>
      </c>
      <c r="C554" s="251" t="s">
        <v>1051</v>
      </c>
      <c r="D554" s="251" t="s">
        <v>132</v>
      </c>
      <c r="E554" s="251"/>
      <c r="F554" s="252" t="s">
        <v>43</v>
      </c>
      <c r="G554" s="284" t="s">
        <v>44</v>
      </c>
      <c r="H554" s="285" t="s">
        <v>239</v>
      </c>
      <c r="I554" s="251" t="s">
        <v>1037</v>
      </c>
      <c r="J554" s="251" t="s">
        <v>1038</v>
      </c>
      <c r="K554" s="255" t="s">
        <v>1039</v>
      </c>
      <c r="L554" s="281"/>
      <c r="M554" s="281"/>
      <c r="N554" s="281"/>
      <c r="Q554" s="283"/>
    </row>
    <row r="555" spans="1:17" ht="12.75" customHeight="1" x14ac:dyDescent="0.2">
      <c r="A555" s="249">
        <v>7820</v>
      </c>
      <c r="B555" s="250" t="s">
        <v>1052</v>
      </c>
      <c r="C555" s="251" t="s">
        <v>1053</v>
      </c>
      <c r="D555" s="251" t="s">
        <v>847</v>
      </c>
      <c r="E555" s="251"/>
      <c r="F555" s="252" t="s">
        <v>49</v>
      </c>
      <c r="G555" s="260" t="s">
        <v>50</v>
      </c>
      <c r="H555" s="261">
        <v>0</v>
      </c>
      <c r="I555" s="251" t="s">
        <v>1037</v>
      </c>
      <c r="J555" s="251" t="s">
        <v>1038</v>
      </c>
      <c r="K555" s="255" t="s">
        <v>1039</v>
      </c>
      <c r="L555" s="281"/>
      <c r="M555" s="281"/>
      <c r="N555" s="281"/>
      <c r="Q555" s="283"/>
    </row>
    <row r="556" spans="1:17" ht="12.75" customHeight="1" x14ac:dyDescent="0.2">
      <c r="A556" s="249">
        <v>7854</v>
      </c>
      <c r="B556" s="250" t="s">
        <v>1054</v>
      </c>
      <c r="C556" s="251" t="s">
        <v>1055</v>
      </c>
      <c r="D556" s="251" t="s">
        <v>213</v>
      </c>
      <c r="E556" s="251"/>
      <c r="F556" s="252" t="s">
        <v>43</v>
      </c>
      <c r="G556" s="284" t="s">
        <v>67</v>
      </c>
      <c r="H556" s="285"/>
      <c r="I556" s="251" t="s">
        <v>1037</v>
      </c>
      <c r="J556" s="251" t="s">
        <v>1038</v>
      </c>
      <c r="K556" s="255" t="s">
        <v>1039</v>
      </c>
      <c r="L556" s="281"/>
      <c r="M556" s="281"/>
      <c r="N556" s="281"/>
      <c r="Q556" s="283"/>
    </row>
    <row r="557" spans="1:17" ht="12.75" customHeight="1" x14ac:dyDescent="0.2">
      <c r="A557" s="249">
        <v>38038</v>
      </c>
      <c r="B557" s="250" t="s">
        <v>1056</v>
      </c>
      <c r="C557" s="251" t="s">
        <v>1057</v>
      </c>
      <c r="D557" s="251" t="s">
        <v>117</v>
      </c>
      <c r="E557" s="251"/>
      <c r="F557" s="252" t="s">
        <v>43</v>
      </c>
      <c r="G557" s="284" t="s">
        <v>52</v>
      </c>
      <c r="H557" s="285" t="s">
        <v>239</v>
      </c>
      <c r="I557" s="251" t="s">
        <v>1037</v>
      </c>
      <c r="J557" s="251" t="s">
        <v>1038</v>
      </c>
      <c r="K557" s="255" t="s">
        <v>1039</v>
      </c>
      <c r="L557" s="281"/>
      <c r="M557" s="281"/>
      <c r="N557" s="281"/>
      <c r="Q557" s="283"/>
    </row>
    <row r="558" spans="1:17" ht="12.75" customHeight="1" x14ac:dyDescent="0.2">
      <c r="A558" s="249">
        <v>38869</v>
      </c>
      <c r="B558" s="250" t="s">
        <v>2312</v>
      </c>
      <c r="C558" s="251" t="s">
        <v>892</v>
      </c>
      <c r="D558" s="251" t="s">
        <v>1277</v>
      </c>
      <c r="E558" s="251"/>
      <c r="F558" s="252" t="s">
        <v>49</v>
      </c>
      <c r="G558" s="284" t="s">
        <v>139</v>
      </c>
      <c r="H558" s="285"/>
      <c r="I558" s="251" t="s">
        <v>1037</v>
      </c>
      <c r="J558" s="251" t="s">
        <v>1038</v>
      </c>
      <c r="K558" s="255" t="s">
        <v>1039</v>
      </c>
      <c r="L558" s="281"/>
      <c r="M558" s="281"/>
      <c r="N558" s="281"/>
      <c r="Q558" s="283"/>
    </row>
    <row r="559" spans="1:17" ht="12.75" customHeight="1" x14ac:dyDescent="0.2">
      <c r="A559" s="249">
        <v>38571</v>
      </c>
      <c r="B559" s="250" t="s">
        <v>1058</v>
      </c>
      <c r="C559" s="251" t="s">
        <v>892</v>
      </c>
      <c r="D559" s="251" t="s">
        <v>1059</v>
      </c>
      <c r="E559" s="251"/>
      <c r="F559" s="252" t="s">
        <v>43</v>
      </c>
      <c r="G559" s="284" t="s">
        <v>44</v>
      </c>
      <c r="H559" s="285" t="s">
        <v>66</v>
      </c>
      <c r="I559" s="251" t="s">
        <v>1037</v>
      </c>
      <c r="J559" s="251" t="s">
        <v>1038</v>
      </c>
      <c r="K559" s="255" t="s">
        <v>1039</v>
      </c>
      <c r="L559" s="281"/>
      <c r="M559" s="281"/>
      <c r="N559" s="281"/>
      <c r="Q559" s="283"/>
    </row>
    <row r="560" spans="1:17" ht="12.75" customHeight="1" x14ac:dyDescent="0.2">
      <c r="A560" s="249">
        <v>7884</v>
      </c>
      <c r="B560" s="250" t="s">
        <v>1141</v>
      </c>
      <c r="C560" s="251" t="s">
        <v>1</v>
      </c>
      <c r="D560" s="251" t="s">
        <v>107</v>
      </c>
      <c r="E560" s="251"/>
      <c r="F560" s="252" t="s">
        <v>43</v>
      </c>
      <c r="G560" s="284" t="s">
        <v>67</v>
      </c>
      <c r="H560" s="285" t="s">
        <v>180</v>
      </c>
      <c r="I560" s="257" t="s">
        <v>1037</v>
      </c>
      <c r="J560" s="251" t="s">
        <v>1038</v>
      </c>
      <c r="K560" s="255" t="s">
        <v>1039</v>
      </c>
      <c r="L560" s="281"/>
      <c r="M560" s="281"/>
      <c r="N560" s="281"/>
      <c r="Q560" s="283"/>
    </row>
    <row r="561" spans="1:17" ht="12.75" customHeight="1" x14ac:dyDescent="0.2">
      <c r="A561" s="249">
        <v>7849</v>
      </c>
      <c r="B561" s="250" t="s">
        <v>1060</v>
      </c>
      <c r="C561" s="251" t="s">
        <v>1061</v>
      </c>
      <c r="D561" s="251" t="s">
        <v>1062</v>
      </c>
      <c r="E561" s="251"/>
      <c r="F561" s="252" t="s">
        <v>43</v>
      </c>
      <c r="G561" s="284" t="s">
        <v>67</v>
      </c>
      <c r="H561" s="285" t="s">
        <v>45</v>
      </c>
      <c r="I561" s="251" t="s">
        <v>1037</v>
      </c>
      <c r="J561" s="251" t="s">
        <v>1038</v>
      </c>
      <c r="K561" s="255" t="s">
        <v>1039</v>
      </c>
      <c r="L561" s="281"/>
      <c r="M561" s="281"/>
      <c r="N561" s="281"/>
      <c r="Q561" s="283"/>
    </row>
    <row r="562" spans="1:17" s="278" customFormat="1" ht="12.75" customHeight="1" x14ac:dyDescent="0.25">
      <c r="A562" s="249">
        <v>7880</v>
      </c>
      <c r="B562" s="250" t="s">
        <v>1905</v>
      </c>
      <c r="C562" s="251" t="s">
        <v>175</v>
      </c>
      <c r="D562" s="251" t="s">
        <v>87</v>
      </c>
      <c r="E562" s="251"/>
      <c r="F562" s="252" t="s">
        <v>43</v>
      </c>
      <c r="G562" s="284" t="s">
        <v>67</v>
      </c>
      <c r="H562" s="285" t="s">
        <v>180</v>
      </c>
      <c r="I562" s="251" t="s">
        <v>1037</v>
      </c>
      <c r="J562" s="251" t="s">
        <v>1038</v>
      </c>
      <c r="K562" s="255" t="s">
        <v>1039</v>
      </c>
      <c r="L562" s="287"/>
      <c r="M562" s="287"/>
      <c r="N562" s="287"/>
      <c r="Q562" s="288"/>
    </row>
    <row r="563" spans="1:17" ht="12.75" customHeight="1" x14ac:dyDescent="0.2">
      <c r="A563" s="249">
        <v>7813</v>
      </c>
      <c r="B563" s="250" t="s">
        <v>1063</v>
      </c>
      <c r="C563" s="251" t="s">
        <v>1064</v>
      </c>
      <c r="D563" s="251" t="s">
        <v>73</v>
      </c>
      <c r="E563" s="251"/>
      <c r="F563" s="252" t="s">
        <v>43</v>
      </c>
      <c r="G563" s="284" t="s">
        <v>52</v>
      </c>
      <c r="H563" s="285" t="s">
        <v>180</v>
      </c>
      <c r="I563" s="251" t="s">
        <v>1037</v>
      </c>
      <c r="J563" s="251" t="s">
        <v>1038</v>
      </c>
      <c r="K563" s="255" t="s">
        <v>1039</v>
      </c>
      <c r="L563" s="281"/>
      <c r="M563" s="281"/>
      <c r="N563" s="281"/>
      <c r="Q563" s="283"/>
    </row>
    <row r="564" spans="1:17" ht="12.75" customHeight="1" x14ac:dyDescent="0.2">
      <c r="A564" s="249">
        <v>38260</v>
      </c>
      <c r="B564" s="250" t="s">
        <v>1065</v>
      </c>
      <c r="C564" s="251" t="s">
        <v>891</v>
      </c>
      <c r="D564" s="251" t="s">
        <v>990</v>
      </c>
      <c r="E564" s="251"/>
      <c r="F564" s="252" t="s">
        <v>43</v>
      </c>
      <c r="G564" s="284" t="s">
        <v>44</v>
      </c>
      <c r="H564" s="285" t="s">
        <v>45</v>
      </c>
      <c r="I564" s="251" t="s">
        <v>1037</v>
      </c>
      <c r="J564" s="251" t="s">
        <v>1038</v>
      </c>
      <c r="K564" s="255" t="s">
        <v>1039</v>
      </c>
      <c r="L564" s="281"/>
      <c r="M564" s="281"/>
      <c r="N564" s="281"/>
      <c r="Q564" s="283"/>
    </row>
    <row r="565" spans="1:17" ht="12.75" customHeight="1" x14ac:dyDescent="0.2">
      <c r="A565" s="249">
        <v>25315</v>
      </c>
      <c r="B565" s="250" t="s">
        <v>1906</v>
      </c>
      <c r="C565" s="251" t="s">
        <v>1907</v>
      </c>
      <c r="D565" s="251" t="s">
        <v>1204</v>
      </c>
      <c r="E565" s="251"/>
      <c r="F565" s="252" t="s">
        <v>43</v>
      </c>
      <c r="G565" s="251" t="s">
        <v>58</v>
      </c>
      <c r="H565" s="252">
        <v>0</v>
      </c>
      <c r="I565" s="251" t="s">
        <v>1068</v>
      </c>
      <c r="J565" s="251" t="s">
        <v>1038</v>
      </c>
      <c r="K565" s="255" t="s">
        <v>1039</v>
      </c>
      <c r="L565" s="281"/>
      <c r="M565" s="281"/>
      <c r="N565" s="281"/>
      <c r="Q565" s="283"/>
    </row>
    <row r="566" spans="1:17" ht="12.75" customHeight="1" x14ac:dyDescent="0.2">
      <c r="A566" s="249">
        <v>16007</v>
      </c>
      <c r="B566" s="250" t="s">
        <v>1066</v>
      </c>
      <c r="C566" s="251" t="s">
        <v>1067</v>
      </c>
      <c r="D566" s="251" t="s">
        <v>87</v>
      </c>
      <c r="E566" s="251"/>
      <c r="F566" s="252" t="s">
        <v>43</v>
      </c>
      <c r="G566" s="284" t="s">
        <v>44</v>
      </c>
      <c r="H566" s="285" t="s">
        <v>180</v>
      </c>
      <c r="I566" s="251" t="s">
        <v>1068</v>
      </c>
      <c r="J566" s="251" t="s">
        <v>1038</v>
      </c>
      <c r="K566" s="255" t="s">
        <v>1039</v>
      </c>
      <c r="L566" s="281"/>
      <c r="M566" s="281"/>
      <c r="N566" s="281"/>
      <c r="Q566" s="283"/>
    </row>
    <row r="567" spans="1:17" ht="12.75" customHeight="1" x14ac:dyDescent="0.2">
      <c r="A567" s="249">
        <v>7901</v>
      </c>
      <c r="B567" s="250" t="s">
        <v>1069</v>
      </c>
      <c r="C567" s="251" t="s">
        <v>1070</v>
      </c>
      <c r="D567" s="251" t="s">
        <v>1071</v>
      </c>
      <c r="E567" s="251"/>
      <c r="F567" s="252" t="s">
        <v>43</v>
      </c>
      <c r="G567" s="284" t="s">
        <v>52</v>
      </c>
      <c r="H567" s="285" t="s">
        <v>45</v>
      </c>
      <c r="I567" s="251" t="s">
        <v>1068</v>
      </c>
      <c r="J567" s="251" t="s">
        <v>1038</v>
      </c>
      <c r="K567" s="255" t="s">
        <v>1039</v>
      </c>
      <c r="L567" s="281"/>
      <c r="M567" s="281"/>
      <c r="N567" s="281"/>
      <c r="Q567" s="283"/>
    </row>
    <row r="568" spans="1:17" ht="12.75" customHeight="1" x14ac:dyDescent="0.2">
      <c r="A568" s="249">
        <v>7830</v>
      </c>
      <c r="B568" s="250" t="s">
        <v>1072</v>
      </c>
      <c r="C568" s="251" t="s">
        <v>1073</v>
      </c>
      <c r="D568" s="251" t="s">
        <v>1074</v>
      </c>
      <c r="E568" s="251"/>
      <c r="F568" s="252" t="s">
        <v>43</v>
      </c>
      <c r="G568" s="284" t="s">
        <v>67</v>
      </c>
      <c r="H568" s="285" t="s">
        <v>180</v>
      </c>
      <c r="I568" s="251" t="s">
        <v>1068</v>
      </c>
      <c r="J568" s="251" t="s">
        <v>1038</v>
      </c>
      <c r="K568" s="255" t="s">
        <v>1039</v>
      </c>
      <c r="L568" s="281"/>
      <c r="M568" s="281"/>
      <c r="N568" s="281"/>
      <c r="Q568" s="283"/>
    </row>
    <row r="569" spans="1:17" ht="12.75" customHeight="1" x14ac:dyDescent="0.2">
      <c r="A569" s="249">
        <v>25764</v>
      </c>
      <c r="B569" s="250" t="s">
        <v>1075</v>
      </c>
      <c r="C569" s="251" t="s">
        <v>1020</v>
      </c>
      <c r="D569" s="251" t="s">
        <v>183</v>
      </c>
      <c r="E569" s="251"/>
      <c r="F569" s="252" t="s">
        <v>43</v>
      </c>
      <c r="G569" s="284" t="s">
        <v>52</v>
      </c>
      <c r="H569" s="285" t="s">
        <v>66</v>
      </c>
      <c r="I569" s="251" t="s">
        <v>1068</v>
      </c>
      <c r="J569" s="251" t="s">
        <v>1038</v>
      </c>
      <c r="K569" s="255" t="s">
        <v>1039</v>
      </c>
    </row>
    <row r="570" spans="1:17" ht="12.75" customHeight="1" x14ac:dyDescent="0.2">
      <c r="A570" s="249">
        <v>38763</v>
      </c>
      <c r="B570" s="250" t="s">
        <v>1990</v>
      </c>
      <c r="C570" s="251" t="s">
        <v>1991</v>
      </c>
      <c r="D570" s="251" t="s">
        <v>73</v>
      </c>
      <c r="E570" s="251"/>
      <c r="F570" s="252" t="s">
        <v>43</v>
      </c>
      <c r="G570" s="284" t="s">
        <v>44</v>
      </c>
      <c r="H570" s="285" t="s">
        <v>51</v>
      </c>
      <c r="I570" s="251" t="s">
        <v>1068</v>
      </c>
      <c r="J570" s="251" t="s">
        <v>1038</v>
      </c>
      <c r="K570" s="255" t="s">
        <v>1039</v>
      </c>
    </row>
    <row r="571" spans="1:17" ht="12.75" customHeight="1" x14ac:dyDescent="0.2">
      <c r="A571" s="249">
        <v>25271</v>
      </c>
      <c r="B571" s="250" t="s">
        <v>1076</v>
      </c>
      <c r="C571" s="251" t="s">
        <v>1077</v>
      </c>
      <c r="D571" s="251" t="s">
        <v>403</v>
      </c>
      <c r="E571" s="251"/>
      <c r="F571" s="252" t="s">
        <v>43</v>
      </c>
      <c r="G571" s="284" t="s">
        <v>67</v>
      </c>
      <c r="H571" s="285" t="s">
        <v>239</v>
      </c>
      <c r="I571" s="251" t="s">
        <v>1068</v>
      </c>
      <c r="J571" s="251" t="s">
        <v>1038</v>
      </c>
      <c r="K571" s="255" t="s">
        <v>1039</v>
      </c>
      <c r="L571" s="281"/>
      <c r="M571" s="281"/>
      <c r="N571" s="281"/>
      <c r="Q571" s="283"/>
    </row>
    <row r="572" spans="1:17" ht="12.75" customHeight="1" x14ac:dyDescent="0.2">
      <c r="A572" s="249">
        <v>25865</v>
      </c>
      <c r="B572" s="250" t="s">
        <v>1078</v>
      </c>
      <c r="C572" s="251" t="s">
        <v>1079</v>
      </c>
      <c r="D572" s="251" t="s">
        <v>1080</v>
      </c>
      <c r="E572" s="251"/>
      <c r="F572" s="252" t="s">
        <v>43</v>
      </c>
      <c r="G572" s="284" t="s">
        <v>44</v>
      </c>
      <c r="H572" s="285" t="s">
        <v>180</v>
      </c>
      <c r="I572" s="251" t="s">
        <v>1068</v>
      </c>
      <c r="J572" s="251" t="s">
        <v>1038</v>
      </c>
      <c r="K572" s="255" t="s">
        <v>1039</v>
      </c>
    </row>
    <row r="573" spans="1:17" ht="12.75" customHeight="1" x14ac:dyDescent="0.2">
      <c r="A573" s="249">
        <v>16967</v>
      </c>
      <c r="B573" s="250" t="s">
        <v>1081</v>
      </c>
      <c r="C573" s="257" t="s">
        <v>1082</v>
      </c>
      <c r="D573" s="257" t="s">
        <v>588</v>
      </c>
      <c r="E573" s="257" t="s">
        <v>2374</v>
      </c>
      <c r="F573" s="252" t="s">
        <v>43</v>
      </c>
      <c r="G573" s="284" t="s">
        <v>67</v>
      </c>
      <c r="H573" s="285"/>
      <c r="I573" s="257" t="s">
        <v>1068</v>
      </c>
      <c r="J573" s="257" t="s">
        <v>1038</v>
      </c>
      <c r="K573" s="255" t="s">
        <v>1039</v>
      </c>
      <c r="L573" s="281"/>
      <c r="M573" s="281"/>
      <c r="N573" s="281"/>
      <c r="Q573" s="283"/>
    </row>
    <row r="574" spans="1:17" ht="12.75" customHeight="1" x14ac:dyDescent="0.2">
      <c r="A574" s="249">
        <v>38883</v>
      </c>
      <c r="B574" s="250" t="s">
        <v>2348</v>
      </c>
      <c r="C574" s="251" t="s">
        <v>2349</v>
      </c>
      <c r="D574" s="251" t="s">
        <v>2350</v>
      </c>
      <c r="E574" s="251"/>
      <c r="F574" s="252" t="s">
        <v>43</v>
      </c>
      <c r="G574" s="284" t="s">
        <v>44</v>
      </c>
      <c r="H574" s="285" t="s">
        <v>51</v>
      </c>
      <c r="I574" s="251" t="s">
        <v>1068</v>
      </c>
      <c r="J574" s="251" t="s">
        <v>1038</v>
      </c>
      <c r="K574" s="255" t="s">
        <v>1039</v>
      </c>
    </row>
    <row r="575" spans="1:17" ht="12.75" customHeight="1" x14ac:dyDescent="0.2">
      <c r="A575" s="249">
        <v>38025</v>
      </c>
      <c r="B575" s="250" t="s">
        <v>1134</v>
      </c>
      <c r="C575" s="251" t="s">
        <v>1135</v>
      </c>
      <c r="D575" s="251" t="s">
        <v>82</v>
      </c>
      <c r="E575" s="251"/>
      <c r="F575" s="252" t="s">
        <v>43</v>
      </c>
      <c r="G575" s="284" t="s">
        <v>94</v>
      </c>
      <c r="H575" s="285" t="s">
        <v>239</v>
      </c>
      <c r="I575" s="251" t="s">
        <v>1068</v>
      </c>
      <c r="J575" s="251" t="s">
        <v>1038</v>
      </c>
      <c r="K575" s="255" t="s">
        <v>1039</v>
      </c>
    </row>
    <row r="576" spans="1:17" ht="12.75" customHeight="1" x14ac:dyDescent="0.2">
      <c r="A576" s="249">
        <v>38418</v>
      </c>
      <c r="B576" s="250" t="s">
        <v>1083</v>
      </c>
      <c r="C576" s="251" t="s">
        <v>1084</v>
      </c>
      <c r="D576" s="251" t="s">
        <v>1085</v>
      </c>
      <c r="E576" s="251"/>
      <c r="F576" s="252" t="s">
        <v>43</v>
      </c>
      <c r="G576" s="253" t="s">
        <v>52</v>
      </c>
      <c r="H576" s="254">
        <v>0</v>
      </c>
      <c r="I576" s="251" t="s">
        <v>1068</v>
      </c>
      <c r="J576" s="251" t="s">
        <v>1038</v>
      </c>
      <c r="K576" s="255" t="s">
        <v>1039</v>
      </c>
    </row>
    <row r="577" spans="1:17" ht="12.75" customHeight="1" x14ac:dyDescent="0.2">
      <c r="A577" s="249">
        <v>25592</v>
      </c>
      <c r="B577" s="250" t="s">
        <v>1908</v>
      </c>
      <c r="C577" s="251" t="s">
        <v>1584</v>
      </c>
      <c r="D577" s="251" t="s">
        <v>97</v>
      </c>
      <c r="E577" s="251"/>
      <c r="F577" s="252" t="s">
        <v>43</v>
      </c>
      <c r="G577" s="262" t="s">
        <v>67</v>
      </c>
      <c r="H577" s="263">
        <v>0</v>
      </c>
      <c r="I577" s="251" t="s">
        <v>1068</v>
      </c>
      <c r="J577" s="251" t="s">
        <v>1038</v>
      </c>
      <c r="K577" s="255" t="s">
        <v>1039</v>
      </c>
    </row>
    <row r="578" spans="1:17" ht="12.75" customHeight="1" x14ac:dyDescent="0.2">
      <c r="A578" s="249">
        <v>25949</v>
      </c>
      <c r="B578" s="250" t="s">
        <v>2024</v>
      </c>
      <c r="C578" s="251" t="s">
        <v>668</v>
      </c>
      <c r="D578" s="251" t="s">
        <v>132</v>
      </c>
      <c r="E578" s="251"/>
      <c r="F578" s="252" t="s">
        <v>43</v>
      </c>
      <c r="G578" s="284" t="s">
        <v>44</v>
      </c>
      <c r="H578" s="285" t="s">
        <v>180</v>
      </c>
      <c r="I578" s="251" t="s">
        <v>1068</v>
      </c>
      <c r="J578" s="251" t="s">
        <v>1038</v>
      </c>
      <c r="K578" s="255" t="s">
        <v>1039</v>
      </c>
    </row>
    <row r="579" spans="1:17" ht="12.75" customHeight="1" x14ac:dyDescent="0.2">
      <c r="A579" s="249">
        <v>25604</v>
      </c>
      <c r="B579" s="250" t="s">
        <v>2351</v>
      </c>
      <c r="C579" s="251" t="s">
        <v>2352</v>
      </c>
      <c r="D579" s="251" t="s">
        <v>687</v>
      </c>
      <c r="E579" s="251"/>
      <c r="F579" s="252" t="s">
        <v>43</v>
      </c>
      <c r="G579" s="284" t="s">
        <v>44</v>
      </c>
      <c r="H579" s="285" t="s">
        <v>180</v>
      </c>
      <c r="I579" s="251" t="s">
        <v>1068</v>
      </c>
      <c r="J579" s="251" t="s">
        <v>1038</v>
      </c>
      <c r="K579" s="255" t="s">
        <v>1039</v>
      </c>
    </row>
    <row r="580" spans="1:17" ht="12.75" customHeight="1" x14ac:dyDescent="0.2">
      <c r="A580" s="249">
        <v>25725</v>
      </c>
      <c r="B580" s="250" t="s">
        <v>1086</v>
      </c>
      <c r="C580" s="251" t="s">
        <v>1087</v>
      </c>
      <c r="D580" s="251" t="s">
        <v>1088</v>
      </c>
      <c r="E580" s="251"/>
      <c r="F580" s="252" t="s">
        <v>43</v>
      </c>
      <c r="G580" s="253" t="s">
        <v>44</v>
      </c>
      <c r="H580" s="254">
        <v>0</v>
      </c>
      <c r="I580" s="251" t="s">
        <v>1068</v>
      </c>
      <c r="J580" s="251" t="s">
        <v>1038</v>
      </c>
      <c r="K580" s="255" t="s">
        <v>1039</v>
      </c>
    </row>
    <row r="581" spans="1:17" ht="12.75" customHeight="1" x14ac:dyDescent="0.2">
      <c r="A581" s="249">
        <v>25804</v>
      </c>
      <c r="B581" s="250" t="s">
        <v>1089</v>
      </c>
      <c r="C581" s="251" t="s">
        <v>1090</v>
      </c>
      <c r="D581" s="251" t="s">
        <v>982</v>
      </c>
      <c r="E581" s="251"/>
      <c r="F581" s="252" t="s">
        <v>43</v>
      </c>
      <c r="G581" s="284" t="s">
        <v>52</v>
      </c>
      <c r="H581" s="285"/>
      <c r="I581" s="251" t="s">
        <v>1068</v>
      </c>
      <c r="J581" s="251" t="s">
        <v>1038</v>
      </c>
      <c r="K581" s="255" t="s">
        <v>1039</v>
      </c>
    </row>
    <row r="582" spans="1:17" ht="12.75" customHeight="1" x14ac:dyDescent="0.2">
      <c r="A582" s="249">
        <v>38803</v>
      </c>
      <c r="B582" s="250" t="s">
        <v>2197</v>
      </c>
      <c r="C582" s="251" t="s">
        <v>2198</v>
      </c>
      <c r="D582" s="251" t="s">
        <v>2199</v>
      </c>
      <c r="E582" s="251"/>
      <c r="F582" s="252" t="s">
        <v>43</v>
      </c>
      <c r="G582" s="284" t="s">
        <v>44</v>
      </c>
      <c r="H582" s="285" t="s">
        <v>45</v>
      </c>
      <c r="I582" s="251" t="s">
        <v>1068</v>
      </c>
      <c r="J582" s="251" t="s">
        <v>1038</v>
      </c>
      <c r="K582" s="255" t="s">
        <v>1039</v>
      </c>
    </row>
    <row r="583" spans="1:17" ht="12.75" customHeight="1" x14ac:dyDescent="0.2">
      <c r="A583" s="249">
        <v>38258</v>
      </c>
      <c r="B583" s="250" t="s">
        <v>1091</v>
      </c>
      <c r="C583" s="251" t="s">
        <v>353</v>
      </c>
      <c r="D583" s="251" t="s">
        <v>689</v>
      </c>
      <c r="E583" s="251"/>
      <c r="F583" s="252" t="s">
        <v>49</v>
      </c>
      <c r="G583" s="284" t="s">
        <v>139</v>
      </c>
      <c r="H583" s="285" t="s">
        <v>45</v>
      </c>
      <c r="I583" s="251" t="s">
        <v>1092</v>
      </c>
      <c r="J583" s="251" t="s">
        <v>1038</v>
      </c>
      <c r="K583" s="255" t="s">
        <v>1039</v>
      </c>
    </row>
    <row r="584" spans="1:17" ht="12.75" customHeight="1" x14ac:dyDescent="0.2">
      <c r="A584" s="249">
        <v>25798</v>
      </c>
      <c r="B584" s="250" t="s">
        <v>926</v>
      </c>
      <c r="C584" s="251" t="s">
        <v>927</v>
      </c>
      <c r="D584" s="251" t="s">
        <v>928</v>
      </c>
      <c r="E584" s="251"/>
      <c r="F584" s="252" t="s">
        <v>49</v>
      </c>
      <c r="G584" s="284" t="s">
        <v>139</v>
      </c>
      <c r="H584" s="285" t="s">
        <v>66</v>
      </c>
      <c r="I584" s="251" t="s">
        <v>1092</v>
      </c>
      <c r="J584" s="251" t="s">
        <v>1038</v>
      </c>
      <c r="K584" s="255" t="s">
        <v>1039</v>
      </c>
    </row>
    <row r="585" spans="1:17" ht="12.75" customHeight="1" x14ac:dyDescent="0.2">
      <c r="A585" s="249">
        <v>25751</v>
      </c>
      <c r="B585" s="250" t="s">
        <v>1093</v>
      </c>
      <c r="C585" s="257" t="s">
        <v>250</v>
      </c>
      <c r="D585" s="257" t="s">
        <v>1094</v>
      </c>
      <c r="E585" s="257" t="s">
        <v>2374</v>
      </c>
      <c r="F585" s="252" t="s">
        <v>49</v>
      </c>
      <c r="G585" s="284" t="s">
        <v>79</v>
      </c>
      <c r="H585" s="285" t="s">
        <v>180</v>
      </c>
      <c r="I585" s="257" t="s">
        <v>1092</v>
      </c>
      <c r="J585" s="257" t="s">
        <v>1038</v>
      </c>
      <c r="K585" s="255" t="s">
        <v>1039</v>
      </c>
    </row>
    <row r="586" spans="1:17" ht="12.75" customHeight="1" x14ac:dyDescent="0.2">
      <c r="A586" s="249">
        <v>7903</v>
      </c>
      <c r="B586" s="250" t="s">
        <v>1095</v>
      </c>
      <c r="C586" s="257" t="s">
        <v>1</v>
      </c>
      <c r="D586" s="257" t="s">
        <v>1096</v>
      </c>
      <c r="E586" s="257" t="s">
        <v>2374</v>
      </c>
      <c r="F586" s="252" t="s">
        <v>49</v>
      </c>
      <c r="G586" s="284" t="s">
        <v>139</v>
      </c>
      <c r="H586" s="285" t="s">
        <v>45</v>
      </c>
      <c r="I586" s="257" t="s">
        <v>1092</v>
      </c>
      <c r="J586" s="257" t="s">
        <v>1038</v>
      </c>
      <c r="K586" s="255" t="s">
        <v>1039</v>
      </c>
    </row>
    <row r="587" spans="1:17" ht="12.75" customHeight="1" x14ac:dyDescent="0.2">
      <c r="A587" s="249">
        <v>16170</v>
      </c>
      <c r="B587" s="250" t="s">
        <v>1097</v>
      </c>
      <c r="C587" s="251" t="s">
        <v>1098</v>
      </c>
      <c r="D587" s="251" t="s">
        <v>1099</v>
      </c>
      <c r="E587" s="251"/>
      <c r="F587" s="252" t="s">
        <v>49</v>
      </c>
      <c r="G587" s="284" t="s">
        <v>79</v>
      </c>
      <c r="H587" s="285" t="s">
        <v>180</v>
      </c>
      <c r="I587" s="251" t="s">
        <v>1092</v>
      </c>
      <c r="J587" s="251" t="s">
        <v>1038</v>
      </c>
      <c r="K587" s="255" t="s">
        <v>1039</v>
      </c>
      <c r="L587" s="281"/>
      <c r="M587" s="281"/>
      <c r="N587" s="281"/>
      <c r="Q587" s="283"/>
    </row>
    <row r="588" spans="1:17" ht="12.75" customHeight="1" x14ac:dyDescent="0.2">
      <c r="A588" s="249">
        <v>7889</v>
      </c>
      <c r="B588" s="250" t="s">
        <v>1100</v>
      </c>
      <c r="C588" s="257" t="s">
        <v>1101</v>
      </c>
      <c r="D588" s="257" t="s">
        <v>614</v>
      </c>
      <c r="E588" s="257" t="s">
        <v>2374</v>
      </c>
      <c r="F588" s="252" t="s">
        <v>49</v>
      </c>
      <c r="G588" s="284" t="s">
        <v>50</v>
      </c>
      <c r="H588" s="285" t="s">
        <v>66</v>
      </c>
      <c r="I588" s="257" t="s">
        <v>1092</v>
      </c>
      <c r="J588" s="257" t="s">
        <v>1038</v>
      </c>
      <c r="K588" s="255" t="s">
        <v>1039</v>
      </c>
    </row>
    <row r="589" spans="1:17" ht="12.75" customHeight="1" x14ac:dyDescent="0.2">
      <c r="A589" s="249">
        <v>25549</v>
      </c>
      <c r="B589" s="250" t="s">
        <v>1129</v>
      </c>
      <c r="C589" s="251" t="s">
        <v>904</v>
      </c>
      <c r="D589" s="251" t="s">
        <v>644</v>
      </c>
      <c r="E589" s="251"/>
      <c r="F589" s="252" t="s">
        <v>43</v>
      </c>
      <c r="G589" s="284" t="s">
        <v>52</v>
      </c>
      <c r="H589" s="285" t="s">
        <v>66</v>
      </c>
      <c r="I589" s="251" t="s">
        <v>255</v>
      </c>
      <c r="J589" s="251" t="s">
        <v>1038</v>
      </c>
      <c r="K589" s="255" t="s">
        <v>1039</v>
      </c>
    </row>
    <row r="590" spans="1:17" ht="12.75" customHeight="1" x14ac:dyDescent="0.2">
      <c r="A590" s="249">
        <v>38049</v>
      </c>
      <c r="B590" s="250" t="s">
        <v>1104</v>
      </c>
      <c r="C590" s="251" t="s">
        <v>1105</v>
      </c>
      <c r="D590" s="251" t="s">
        <v>1106</v>
      </c>
      <c r="E590" s="251"/>
      <c r="F590" s="252" t="s">
        <v>49</v>
      </c>
      <c r="G590" s="284" t="s">
        <v>340</v>
      </c>
      <c r="H590" s="285" t="s">
        <v>239</v>
      </c>
      <c r="I590" s="251" t="s">
        <v>1107</v>
      </c>
      <c r="J590" s="251" t="s">
        <v>1038</v>
      </c>
      <c r="K590" s="255" t="s">
        <v>1039</v>
      </c>
    </row>
    <row r="591" spans="1:17" ht="12.75" customHeight="1" x14ac:dyDescent="0.2">
      <c r="A591" s="249">
        <v>25381</v>
      </c>
      <c r="B591" s="250" t="s">
        <v>1108</v>
      </c>
      <c r="C591" s="251" t="s">
        <v>1105</v>
      </c>
      <c r="D591" s="251" t="s">
        <v>1109</v>
      </c>
      <c r="E591" s="251"/>
      <c r="F591" s="252" t="s">
        <v>49</v>
      </c>
      <c r="G591" s="284" t="s">
        <v>139</v>
      </c>
      <c r="H591" s="285" t="s">
        <v>180</v>
      </c>
      <c r="I591" s="251" t="s">
        <v>1107</v>
      </c>
      <c r="J591" s="251" t="s">
        <v>1038</v>
      </c>
      <c r="K591" s="255" t="s">
        <v>1039</v>
      </c>
    </row>
    <row r="592" spans="1:17" ht="12.75" customHeight="1" x14ac:dyDescent="0.2">
      <c r="A592" s="249">
        <v>34400</v>
      </c>
      <c r="B592" s="250" t="s">
        <v>1110</v>
      </c>
      <c r="C592" s="251" t="s">
        <v>2200</v>
      </c>
      <c r="D592" s="251" t="s">
        <v>1111</v>
      </c>
      <c r="E592" s="251" t="s">
        <v>746</v>
      </c>
      <c r="F592" s="252" t="s">
        <v>49</v>
      </c>
      <c r="G592" s="284" t="s">
        <v>79</v>
      </c>
      <c r="H592" s="285" t="s">
        <v>51</v>
      </c>
      <c r="I592" s="251" t="s">
        <v>1107</v>
      </c>
      <c r="J592" s="251" t="s">
        <v>1038</v>
      </c>
      <c r="K592" s="255" t="s">
        <v>1039</v>
      </c>
    </row>
    <row r="593" spans="1:17" ht="12.75" customHeight="1" x14ac:dyDescent="0.2">
      <c r="A593" s="249">
        <v>7445</v>
      </c>
      <c r="B593" s="250" t="s">
        <v>1113</v>
      </c>
      <c r="C593" s="251" t="s">
        <v>1114</v>
      </c>
      <c r="D593" s="251" t="s">
        <v>1094</v>
      </c>
      <c r="E593" s="251"/>
      <c r="F593" s="252" t="s">
        <v>49</v>
      </c>
      <c r="G593" s="284" t="s">
        <v>79</v>
      </c>
      <c r="H593" s="285" t="s">
        <v>239</v>
      </c>
      <c r="I593" s="251" t="s">
        <v>1107</v>
      </c>
      <c r="J593" s="251" t="s">
        <v>1038</v>
      </c>
      <c r="K593" s="255" t="s">
        <v>1039</v>
      </c>
    </row>
    <row r="594" spans="1:17" ht="12.75" customHeight="1" x14ac:dyDescent="0.2">
      <c r="A594" s="249">
        <v>8843</v>
      </c>
      <c r="B594" s="250" t="s">
        <v>2481</v>
      </c>
      <c r="C594" s="251" t="s">
        <v>2482</v>
      </c>
      <c r="D594" s="251" t="s">
        <v>2483</v>
      </c>
      <c r="E594" s="251"/>
      <c r="F594" s="252" t="s">
        <v>49</v>
      </c>
      <c r="G594" s="253" t="s">
        <v>79</v>
      </c>
      <c r="H594" s="254" t="s">
        <v>239</v>
      </c>
      <c r="I594" s="251" t="s">
        <v>1107</v>
      </c>
      <c r="J594" s="251" t="s">
        <v>1038</v>
      </c>
      <c r="K594" s="255" t="s">
        <v>1039</v>
      </c>
      <c r="L594" s="281"/>
      <c r="M594" s="281"/>
      <c r="N594" s="281"/>
      <c r="Q594" s="283"/>
    </row>
    <row r="595" spans="1:17" ht="12.75" customHeight="1" x14ac:dyDescent="0.2">
      <c r="A595" s="249">
        <v>13855</v>
      </c>
      <c r="B595" s="250" t="s">
        <v>1115</v>
      </c>
      <c r="C595" s="251" t="s">
        <v>1116</v>
      </c>
      <c r="D595" s="251" t="s">
        <v>1117</v>
      </c>
      <c r="E595" s="251"/>
      <c r="F595" s="252" t="s">
        <v>49</v>
      </c>
      <c r="G595" s="253" t="s">
        <v>79</v>
      </c>
      <c r="H595" s="254">
        <v>0</v>
      </c>
      <c r="I595" s="251" t="s">
        <v>1107</v>
      </c>
      <c r="J595" s="251" t="s">
        <v>1038</v>
      </c>
      <c r="K595" s="255" t="s">
        <v>1039</v>
      </c>
    </row>
    <row r="596" spans="1:17" ht="12.75" customHeight="1" x14ac:dyDescent="0.2">
      <c r="A596" s="249">
        <v>7827</v>
      </c>
      <c r="B596" s="250" t="s">
        <v>1118</v>
      </c>
      <c r="C596" s="251" t="s">
        <v>1119</v>
      </c>
      <c r="D596" s="251" t="s">
        <v>476</v>
      </c>
      <c r="E596" s="251"/>
      <c r="F596" s="252" t="s">
        <v>49</v>
      </c>
      <c r="G596" s="284" t="s">
        <v>79</v>
      </c>
      <c r="H596" s="285" t="s">
        <v>66</v>
      </c>
      <c r="I596" s="251" t="s">
        <v>1107</v>
      </c>
      <c r="J596" s="251" t="s">
        <v>1038</v>
      </c>
      <c r="K596" s="255" t="s">
        <v>1039</v>
      </c>
    </row>
    <row r="597" spans="1:17" ht="12.75" customHeight="1" x14ac:dyDescent="0.2">
      <c r="A597" s="249">
        <v>27004</v>
      </c>
      <c r="B597" s="250" t="s">
        <v>2484</v>
      </c>
      <c r="C597" s="251" t="s">
        <v>1659</v>
      </c>
      <c r="D597" s="251" t="s">
        <v>720</v>
      </c>
      <c r="E597" s="251"/>
      <c r="F597" s="252" t="s">
        <v>49</v>
      </c>
      <c r="G597" s="258" t="s">
        <v>79</v>
      </c>
      <c r="H597" s="259" t="s">
        <v>180</v>
      </c>
      <c r="I597" s="251" t="s">
        <v>1107</v>
      </c>
      <c r="J597" s="251" t="s">
        <v>1038</v>
      </c>
      <c r="K597" s="255" t="s">
        <v>1039</v>
      </c>
    </row>
    <row r="598" spans="1:17" ht="12.75" customHeight="1" x14ac:dyDescent="0.2">
      <c r="A598" s="249">
        <v>7886</v>
      </c>
      <c r="B598" s="250" t="s">
        <v>1122</v>
      </c>
      <c r="C598" s="251" t="s">
        <v>1123</v>
      </c>
      <c r="D598" s="251" t="s">
        <v>195</v>
      </c>
      <c r="E598" s="251"/>
      <c r="F598" s="252" t="s">
        <v>43</v>
      </c>
      <c r="G598" s="284" t="s">
        <v>44</v>
      </c>
      <c r="H598" s="285" t="s">
        <v>180</v>
      </c>
      <c r="I598" s="251" t="s">
        <v>1121</v>
      </c>
      <c r="J598" s="251" t="s">
        <v>1038</v>
      </c>
      <c r="K598" s="255" t="s">
        <v>1039</v>
      </c>
    </row>
    <row r="599" spans="1:17" ht="12.75" customHeight="1" x14ac:dyDescent="0.2">
      <c r="A599" s="249">
        <v>35141</v>
      </c>
      <c r="B599" s="250" t="s">
        <v>1909</v>
      </c>
      <c r="C599" s="251" t="s">
        <v>1910</v>
      </c>
      <c r="D599" s="251" t="s">
        <v>1911</v>
      </c>
      <c r="E599" s="251"/>
      <c r="F599" s="252" t="s">
        <v>43</v>
      </c>
      <c r="G599" s="284" t="s">
        <v>94</v>
      </c>
      <c r="H599" s="285" t="s">
        <v>239</v>
      </c>
      <c r="I599" s="251" t="s">
        <v>1121</v>
      </c>
      <c r="J599" s="251" t="s">
        <v>1038</v>
      </c>
      <c r="K599" s="255" t="s">
        <v>1039</v>
      </c>
    </row>
    <row r="600" spans="1:17" ht="12.75" customHeight="1" x14ac:dyDescent="0.2">
      <c r="A600" s="249">
        <v>38740</v>
      </c>
      <c r="B600" s="250" t="s">
        <v>1964</v>
      </c>
      <c r="C600" s="257" t="s">
        <v>1962</v>
      </c>
      <c r="D600" s="257" t="s">
        <v>1965</v>
      </c>
      <c r="E600" s="257" t="s">
        <v>2374</v>
      </c>
      <c r="F600" s="252" t="s">
        <v>43</v>
      </c>
      <c r="G600" s="284" t="s">
        <v>94</v>
      </c>
      <c r="H600" s="285" t="s">
        <v>180</v>
      </c>
      <c r="I600" s="257" t="s">
        <v>1121</v>
      </c>
      <c r="J600" s="257" t="s">
        <v>1038</v>
      </c>
      <c r="K600" s="255" t="s">
        <v>1039</v>
      </c>
    </row>
    <row r="601" spans="1:17" ht="12.75" customHeight="1" x14ac:dyDescent="0.2">
      <c r="A601" s="249">
        <v>16796</v>
      </c>
      <c r="B601" s="250" t="s">
        <v>1127</v>
      </c>
      <c r="C601" s="251" t="s">
        <v>1128</v>
      </c>
      <c r="D601" s="251" t="s">
        <v>195</v>
      </c>
      <c r="E601" s="251"/>
      <c r="F601" s="252" t="s">
        <v>43</v>
      </c>
      <c r="G601" s="284" t="s">
        <v>44</v>
      </c>
      <c r="H601" s="285" t="s">
        <v>180</v>
      </c>
      <c r="I601" s="251" t="s">
        <v>1121</v>
      </c>
      <c r="J601" s="251" t="s">
        <v>1038</v>
      </c>
      <c r="K601" s="255" t="s">
        <v>1039</v>
      </c>
    </row>
    <row r="602" spans="1:17" ht="12.75" customHeight="1" x14ac:dyDescent="0.2">
      <c r="A602" s="249">
        <v>7868</v>
      </c>
      <c r="B602" s="250" t="s">
        <v>2485</v>
      </c>
      <c r="C602" s="251" t="s">
        <v>2486</v>
      </c>
      <c r="D602" s="251" t="s">
        <v>64</v>
      </c>
      <c r="E602" s="251"/>
      <c r="F602" s="252" t="s">
        <v>43</v>
      </c>
      <c r="G602" s="258" t="s">
        <v>67</v>
      </c>
      <c r="H602" s="259">
        <v>0</v>
      </c>
      <c r="I602" s="251" t="s">
        <v>1121</v>
      </c>
      <c r="J602" s="251" t="s">
        <v>1038</v>
      </c>
      <c r="K602" s="255" t="s">
        <v>1039</v>
      </c>
    </row>
    <row r="603" spans="1:17" ht="12.75" customHeight="1" x14ac:dyDescent="0.2">
      <c r="A603" s="249">
        <v>16386</v>
      </c>
      <c r="B603" s="250" t="s">
        <v>2204</v>
      </c>
      <c r="C603" s="251" t="s">
        <v>1482</v>
      </c>
      <c r="D603" s="251" t="s">
        <v>99</v>
      </c>
      <c r="E603" s="251"/>
      <c r="F603" s="252" t="s">
        <v>43</v>
      </c>
      <c r="G603" s="284" t="s">
        <v>44</v>
      </c>
      <c r="H603" s="285" t="s">
        <v>239</v>
      </c>
      <c r="I603" s="251" t="s">
        <v>1121</v>
      </c>
      <c r="J603" s="251" t="s">
        <v>1038</v>
      </c>
      <c r="K603" s="255" t="s">
        <v>1039</v>
      </c>
    </row>
    <row r="604" spans="1:17" ht="12.75" customHeight="1" x14ac:dyDescent="0.2">
      <c r="A604" s="249">
        <v>18802</v>
      </c>
      <c r="B604" s="250" t="s">
        <v>2205</v>
      </c>
      <c r="C604" s="251" t="s">
        <v>2206</v>
      </c>
      <c r="D604" s="251" t="s">
        <v>1154</v>
      </c>
      <c r="E604" s="251"/>
      <c r="F604" s="252" t="s">
        <v>43</v>
      </c>
      <c r="G604" s="284" t="s">
        <v>67</v>
      </c>
      <c r="H604" s="285" t="s">
        <v>239</v>
      </c>
      <c r="I604" s="251" t="s">
        <v>1121</v>
      </c>
      <c r="J604" s="251" t="s">
        <v>1038</v>
      </c>
      <c r="K604" s="255" t="s">
        <v>1039</v>
      </c>
    </row>
    <row r="605" spans="1:17" ht="12.75" customHeight="1" x14ac:dyDescent="0.2">
      <c r="A605" s="249">
        <v>38226</v>
      </c>
      <c r="B605" s="250" t="s">
        <v>1131</v>
      </c>
      <c r="C605" s="251" t="s">
        <v>766</v>
      </c>
      <c r="D605" s="251" t="s">
        <v>990</v>
      </c>
      <c r="E605" s="251"/>
      <c r="F605" s="252" t="s">
        <v>43</v>
      </c>
      <c r="G605" s="284" t="s">
        <v>44</v>
      </c>
      <c r="H605" s="285" t="s">
        <v>180</v>
      </c>
      <c r="I605" s="251" t="s">
        <v>1121</v>
      </c>
      <c r="J605" s="251" t="s">
        <v>1038</v>
      </c>
      <c r="K605" s="255" t="s">
        <v>1039</v>
      </c>
    </row>
    <row r="606" spans="1:17" ht="12.75" customHeight="1" x14ac:dyDescent="0.2">
      <c r="A606" s="249">
        <v>18530</v>
      </c>
      <c r="B606" s="250" t="s">
        <v>1132</v>
      </c>
      <c r="C606" s="251" t="s">
        <v>1133</v>
      </c>
      <c r="D606" s="251" t="s">
        <v>527</v>
      </c>
      <c r="E606" s="251"/>
      <c r="F606" s="252" t="s">
        <v>43</v>
      </c>
      <c r="G606" s="284" t="s">
        <v>52</v>
      </c>
      <c r="H606" s="285"/>
      <c r="I606" s="251" t="s">
        <v>1121</v>
      </c>
      <c r="J606" s="251" t="s">
        <v>1038</v>
      </c>
      <c r="K606" s="255" t="s">
        <v>1039</v>
      </c>
    </row>
    <row r="607" spans="1:17" ht="12.75" customHeight="1" x14ac:dyDescent="0.2">
      <c r="A607" s="249">
        <v>7869</v>
      </c>
      <c r="B607" s="250" t="s">
        <v>1136</v>
      </c>
      <c r="C607" s="251" t="s">
        <v>625</v>
      </c>
      <c r="D607" s="251" t="s">
        <v>73</v>
      </c>
      <c r="E607" s="251"/>
      <c r="F607" s="252" t="s">
        <v>43</v>
      </c>
      <c r="G607" s="284" t="s">
        <v>58</v>
      </c>
      <c r="H607" s="285" t="s">
        <v>180</v>
      </c>
      <c r="I607" s="251" t="s">
        <v>1121</v>
      </c>
      <c r="J607" s="251" t="s">
        <v>1038</v>
      </c>
      <c r="K607" s="255" t="s">
        <v>1039</v>
      </c>
    </row>
    <row r="608" spans="1:17" ht="12.75" customHeight="1" x14ac:dyDescent="0.2">
      <c r="A608" s="249">
        <v>38230</v>
      </c>
      <c r="B608" s="250" t="s">
        <v>1433</v>
      </c>
      <c r="C608" s="251" t="s">
        <v>1434</v>
      </c>
      <c r="D608" s="251" t="s">
        <v>1407</v>
      </c>
      <c r="E608" s="251"/>
      <c r="F608" s="252" t="s">
        <v>43</v>
      </c>
      <c r="G608" s="284" t="s">
        <v>94</v>
      </c>
      <c r="H608" s="285" t="s">
        <v>239</v>
      </c>
      <c r="I608" s="251" t="s">
        <v>1121</v>
      </c>
      <c r="J608" s="251" t="s">
        <v>1038</v>
      </c>
      <c r="K608" s="255" t="s">
        <v>1039</v>
      </c>
    </row>
    <row r="609" spans="1:17" ht="12.75" customHeight="1" x14ac:dyDescent="0.2">
      <c r="A609" s="249">
        <v>7900</v>
      </c>
      <c r="B609" s="250" t="s">
        <v>1140</v>
      </c>
      <c r="C609" s="251" t="s">
        <v>1139</v>
      </c>
      <c r="D609" s="251" t="s">
        <v>570</v>
      </c>
      <c r="E609" s="251"/>
      <c r="F609" s="252" t="s">
        <v>43</v>
      </c>
      <c r="G609" s="284" t="s">
        <v>52</v>
      </c>
      <c r="H609" s="285"/>
      <c r="I609" s="251" t="s">
        <v>1121</v>
      </c>
      <c r="J609" s="251" t="s">
        <v>1038</v>
      </c>
      <c r="K609" s="255" t="s">
        <v>1039</v>
      </c>
    </row>
    <row r="610" spans="1:17" ht="12.75" customHeight="1" x14ac:dyDescent="0.2">
      <c r="A610" s="249">
        <v>7836</v>
      </c>
      <c r="B610" s="250" t="s">
        <v>1144</v>
      </c>
      <c r="C610" s="251" t="s">
        <v>797</v>
      </c>
      <c r="D610" s="251" t="s">
        <v>1020</v>
      </c>
      <c r="E610" s="251"/>
      <c r="F610" s="252" t="s">
        <v>43</v>
      </c>
      <c r="G610" s="284" t="s">
        <v>58</v>
      </c>
      <c r="H610" s="285" t="s">
        <v>239</v>
      </c>
      <c r="I610" s="251" t="s">
        <v>1121</v>
      </c>
      <c r="J610" s="251" t="s">
        <v>1038</v>
      </c>
      <c r="K610" s="255" t="s">
        <v>1039</v>
      </c>
    </row>
    <row r="611" spans="1:17" ht="12.75" customHeight="1" x14ac:dyDescent="0.2">
      <c r="A611" s="249">
        <v>7647</v>
      </c>
      <c r="B611" s="250" t="s">
        <v>1145</v>
      </c>
      <c r="C611" s="257" t="s">
        <v>1098</v>
      </c>
      <c r="D611" s="257" t="s">
        <v>107</v>
      </c>
      <c r="E611" s="257" t="s">
        <v>2374</v>
      </c>
      <c r="F611" s="252" t="s">
        <v>43</v>
      </c>
      <c r="G611" s="284" t="s">
        <v>67</v>
      </c>
      <c r="H611" s="285" t="s">
        <v>239</v>
      </c>
      <c r="I611" s="251" t="s">
        <v>1121</v>
      </c>
      <c r="J611" s="257" t="s">
        <v>1038</v>
      </c>
      <c r="K611" s="255" t="s">
        <v>1039</v>
      </c>
    </row>
    <row r="612" spans="1:17" ht="12.75" customHeight="1" x14ac:dyDescent="0.2">
      <c r="A612" s="249">
        <v>7683</v>
      </c>
      <c r="B612" s="250" t="s">
        <v>341</v>
      </c>
      <c r="C612" s="251" t="s">
        <v>342</v>
      </c>
      <c r="D612" s="251" t="s">
        <v>260</v>
      </c>
      <c r="E612" s="251"/>
      <c r="F612" s="252" t="s">
        <v>49</v>
      </c>
      <c r="G612" s="284" t="s">
        <v>139</v>
      </c>
      <c r="H612" s="285"/>
      <c r="I612" s="251" t="s">
        <v>1524</v>
      </c>
      <c r="J612" s="251" t="s">
        <v>1912</v>
      </c>
      <c r="K612" s="255" t="s">
        <v>1913</v>
      </c>
    </row>
    <row r="613" spans="1:17" ht="12.75" customHeight="1" x14ac:dyDescent="0.2">
      <c r="A613" s="249">
        <v>25273</v>
      </c>
      <c r="B613" s="250" t="s">
        <v>1523</v>
      </c>
      <c r="C613" s="251" t="s">
        <v>1392</v>
      </c>
      <c r="D613" s="251" t="s">
        <v>1277</v>
      </c>
      <c r="E613" s="251"/>
      <c r="F613" s="252" t="s">
        <v>49</v>
      </c>
      <c r="G613" s="284" t="s">
        <v>50</v>
      </c>
      <c r="H613" s="285"/>
      <c r="I613" s="251" t="s">
        <v>1524</v>
      </c>
      <c r="J613" s="251" t="s">
        <v>1912</v>
      </c>
      <c r="K613" s="255" t="s">
        <v>1913</v>
      </c>
    </row>
    <row r="614" spans="1:17" ht="12.75" customHeight="1" x14ac:dyDescent="0.2">
      <c r="A614" s="249">
        <v>16426</v>
      </c>
      <c r="B614" s="250" t="s">
        <v>1525</v>
      </c>
      <c r="C614" s="257" t="s">
        <v>1526</v>
      </c>
      <c r="D614" s="257" t="s">
        <v>167</v>
      </c>
      <c r="E614" s="257" t="s">
        <v>2374</v>
      </c>
      <c r="F614" s="252" t="s">
        <v>49</v>
      </c>
      <c r="G614" s="284" t="s">
        <v>79</v>
      </c>
      <c r="H614" s="285" t="s">
        <v>180</v>
      </c>
      <c r="I614" s="257" t="s">
        <v>1524</v>
      </c>
      <c r="J614" s="257" t="s">
        <v>1912</v>
      </c>
      <c r="K614" s="255" t="s">
        <v>1913</v>
      </c>
      <c r="L614" s="281"/>
      <c r="M614" s="281"/>
      <c r="N614" s="281"/>
      <c r="Q614" s="283"/>
    </row>
    <row r="615" spans="1:17" ht="12.75" customHeight="1" x14ac:dyDescent="0.2">
      <c r="A615" s="249">
        <v>38011</v>
      </c>
      <c r="B615" s="250" t="s">
        <v>1527</v>
      </c>
      <c r="C615" s="257" t="s">
        <v>1526</v>
      </c>
      <c r="D615" s="257" t="s">
        <v>1528</v>
      </c>
      <c r="E615" s="257" t="s">
        <v>2374</v>
      </c>
      <c r="F615" s="252" t="s">
        <v>49</v>
      </c>
      <c r="G615" s="284" t="s">
        <v>340</v>
      </c>
      <c r="H615" s="285" t="s">
        <v>51</v>
      </c>
      <c r="I615" s="257" t="s">
        <v>1524</v>
      </c>
      <c r="J615" s="257" t="s">
        <v>1912</v>
      </c>
      <c r="K615" s="255" t="s">
        <v>1913</v>
      </c>
    </row>
    <row r="616" spans="1:17" ht="12.75" customHeight="1" x14ac:dyDescent="0.2">
      <c r="A616" s="249">
        <v>16423</v>
      </c>
      <c r="B616" s="250" t="s">
        <v>1529</v>
      </c>
      <c r="C616" s="251" t="s">
        <v>1526</v>
      </c>
      <c r="D616" s="251" t="s">
        <v>120</v>
      </c>
      <c r="E616" s="251"/>
      <c r="F616" s="252" t="s">
        <v>43</v>
      </c>
      <c r="G616" s="284" t="s">
        <v>52</v>
      </c>
      <c r="H616" s="285" t="s">
        <v>66</v>
      </c>
      <c r="I616" s="251" t="s">
        <v>1524</v>
      </c>
      <c r="J616" s="251" t="s">
        <v>1912</v>
      </c>
      <c r="K616" s="255" t="s">
        <v>1913</v>
      </c>
    </row>
    <row r="617" spans="1:17" ht="12.75" customHeight="1" x14ac:dyDescent="0.2">
      <c r="A617" s="249">
        <v>16424</v>
      </c>
      <c r="B617" s="250" t="s">
        <v>1530</v>
      </c>
      <c r="C617" s="251" t="s">
        <v>1531</v>
      </c>
      <c r="D617" s="251" t="s">
        <v>57</v>
      </c>
      <c r="E617" s="251"/>
      <c r="F617" s="252" t="s">
        <v>43</v>
      </c>
      <c r="G617" s="284" t="s">
        <v>67</v>
      </c>
      <c r="H617" s="285" t="s">
        <v>66</v>
      </c>
      <c r="I617" s="251" t="s">
        <v>1524</v>
      </c>
      <c r="J617" s="251" t="s">
        <v>1912</v>
      </c>
      <c r="K617" s="255" t="s">
        <v>1913</v>
      </c>
    </row>
    <row r="618" spans="1:17" ht="12.75" customHeight="1" x14ac:dyDescent="0.2">
      <c r="A618" s="249">
        <v>34468</v>
      </c>
      <c r="B618" s="250" t="s">
        <v>1533</v>
      </c>
      <c r="C618" s="251" t="s">
        <v>1534</v>
      </c>
      <c r="D618" s="251" t="s">
        <v>271</v>
      </c>
      <c r="E618" s="251"/>
      <c r="F618" s="252" t="s">
        <v>49</v>
      </c>
      <c r="G618" s="284" t="s">
        <v>79</v>
      </c>
      <c r="H618" s="285"/>
      <c r="I618" s="251" t="s">
        <v>1524</v>
      </c>
      <c r="J618" s="251" t="s">
        <v>1912</v>
      </c>
      <c r="K618" s="255" t="s">
        <v>1913</v>
      </c>
    </row>
    <row r="619" spans="1:17" ht="12.75" customHeight="1" x14ac:dyDescent="0.2">
      <c r="A619" s="249">
        <v>10603</v>
      </c>
      <c r="B619" s="250" t="s">
        <v>1219</v>
      </c>
      <c r="C619" s="251" t="s">
        <v>1220</v>
      </c>
      <c r="D619" s="251" t="s">
        <v>1221</v>
      </c>
      <c r="E619" s="251"/>
      <c r="F619" s="252" t="s">
        <v>43</v>
      </c>
      <c r="G619" s="284" t="s">
        <v>44</v>
      </c>
      <c r="H619" s="285" t="s">
        <v>180</v>
      </c>
      <c r="I619" s="251" t="s">
        <v>1524</v>
      </c>
      <c r="J619" s="251" t="s">
        <v>1912</v>
      </c>
      <c r="K619" s="255" t="s">
        <v>1913</v>
      </c>
    </row>
    <row r="620" spans="1:17" ht="12.75" customHeight="1" x14ac:dyDescent="0.2">
      <c r="A620" s="249">
        <v>25277</v>
      </c>
      <c r="B620" s="250" t="s">
        <v>1537</v>
      </c>
      <c r="C620" s="251" t="s">
        <v>1538</v>
      </c>
      <c r="D620" s="251" t="s">
        <v>1539</v>
      </c>
      <c r="E620" s="251"/>
      <c r="F620" s="252" t="s">
        <v>49</v>
      </c>
      <c r="G620" s="284" t="s">
        <v>139</v>
      </c>
      <c r="H620" s="285" t="s">
        <v>51</v>
      </c>
      <c r="I620" s="251" t="s">
        <v>1524</v>
      </c>
      <c r="J620" s="251" t="s">
        <v>1912</v>
      </c>
      <c r="K620" s="255" t="s">
        <v>1913</v>
      </c>
    </row>
    <row r="621" spans="1:17" ht="12.75" customHeight="1" x14ac:dyDescent="0.2">
      <c r="A621" s="249">
        <v>25115</v>
      </c>
      <c r="B621" s="250" t="s">
        <v>1540</v>
      </c>
      <c r="C621" s="251" t="s">
        <v>1538</v>
      </c>
      <c r="D621" s="251" t="s">
        <v>527</v>
      </c>
      <c r="E621" s="251"/>
      <c r="F621" s="252" t="s">
        <v>43</v>
      </c>
      <c r="G621" s="284" t="s">
        <v>67</v>
      </c>
      <c r="H621" s="285" t="s">
        <v>66</v>
      </c>
      <c r="I621" s="251" t="s">
        <v>1524</v>
      </c>
      <c r="J621" s="251" t="s">
        <v>1912</v>
      </c>
      <c r="K621" s="255" t="s">
        <v>1913</v>
      </c>
    </row>
    <row r="622" spans="1:17" ht="12.75" customHeight="1" x14ac:dyDescent="0.2">
      <c r="A622" s="249">
        <v>38354</v>
      </c>
      <c r="B622" s="250" t="s">
        <v>1541</v>
      </c>
      <c r="C622" s="257" t="s">
        <v>1542</v>
      </c>
      <c r="D622" s="257" t="s">
        <v>57</v>
      </c>
      <c r="E622" s="257" t="s">
        <v>2374</v>
      </c>
      <c r="F622" s="252" t="s">
        <v>43</v>
      </c>
      <c r="G622" s="284" t="s">
        <v>44</v>
      </c>
      <c r="H622" s="285" t="s">
        <v>45</v>
      </c>
      <c r="I622" s="257" t="s">
        <v>1524</v>
      </c>
      <c r="J622" s="257" t="s">
        <v>1912</v>
      </c>
      <c r="K622" s="255" t="s">
        <v>1913</v>
      </c>
    </row>
    <row r="623" spans="1:17" ht="12.75" customHeight="1" x14ac:dyDescent="0.2">
      <c r="A623" s="249">
        <v>29670</v>
      </c>
      <c r="B623" s="250" t="s">
        <v>1543</v>
      </c>
      <c r="C623" s="251" t="s">
        <v>1544</v>
      </c>
      <c r="D623" s="251" t="s">
        <v>1106</v>
      </c>
      <c r="E623" s="251"/>
      <c r="F623" s="252" t="s">
        <v>49</v>
      </c>
      <c r="G623" s="284" t="s">
        <v>79</v>
      </c>
      <c r="H623" s="285" t="s">
        <v>45</v>
      </c>
      <c r="I623" s="251" t="s">
        <v>1524</v>
      </c>
      <c r="J623" s="251" t="s">
        <v>1912</v>
      </c>
      <c r="K623" s="255" t="s">
        <v>1913</v>
      </c>
    </row>
    <row r="624" spans="1:17" ht="12.75" customHeight="1" x14ac:dyDescent="0.2">
      <c r="A624" s="249">
        <v>38348</v>
      </c>
      <c r="B624" s="250" t="s">
        <v>1545</v>
      </c>
      <c r="C624" s="257" t="s">
        <v>1546</v>
      </c>
      <c r="D624" s="257" t="s">
        <v>1547</v>
      </c>
      <c r="E624" s="257" t="s">
        <v>2374</v>
      </c>
      <c r="F624" s="252" t="s">
        <v>43</v>
      </c>
      <c r="G624" s="284" t="s">
        <v>94</v>
      </c>
      <c r="H624" s="285" t="s">
        <v>180</v>
      </c>
      <c r="I624" s="257" t="s">
        <v>1524</v>
      </c>
      <c r="J624" s="257" t="s">
        <v>1912</v>
      </c>
      <c r="K624" s="255" t="s">
        <v>1913</v>
      </c>
    </row>
    <row r="625" spans="1:17" ht="12.75" customHeight="1" x14ac:dyDescent="0.2">
      <c r="A625" s="249">
        <v>16828</v>
      </c>
      <c r="B625" s="250" t="s">
        <v>1548</v>
      </c>
      <c r="C625" s="251" t="s">
        <v>1546</v>
      </c>
      <c r="D625" s="251" t="s">
        <v>1549</v>
      </c>
      <c r="E625" s="251"/>
      <c r="F625" s="252" t="s">
        <v>49</v>
      </c>
      <c r="G625" s="284" t="s">
        <v>50</v>
      </c>
      <c r="H625" s="285" t="s">
        <v>51</v>
      </c>
      <c r="I625" s="251" t="s">
        <v>1524</v>
      </c>
      <c r="J625" s="251" t="s">
        <v>1912</v>
      </c>
      <c r="K625" s="255" t="s">
        <v>1913</v>
      </c>
    </row>
    <row r="626" spans="1:17" ht="12.75" customHeight="1" x14ac:dyDescent="0.2">
      <c r="A626" s="249">
        <v>16409</v>
      </c>
      <c r="B626" s="250" t="s">
        <v>1550</v>
      </c>
      <c r="C626" s="251" t="s">
        <v>1551</v>
      </c>
      <c r="D626" s="251" t="s">
        <v>179</v>
      </c>
      <c r="E626" s="251"/>
      <c r="F626" s="252" t="s">
        <v>43</v>
      </c>
      <c r="G626" s="284" t="s">
        <v>44</v>
      </c>
      <c r="H626" s="285" t="s">
        <v>45</v>
      </c>
      <c r="I626" s="251" t="s">
        <v>1524</v>
      </c>
      <c r="J626" s="251" t="s">
        <v>1912</v>
      </c>
      <c r="K626" s="255" t="s">
        <v>1913</v>
      </c>
    </row>
    <row r="627" spans="1:17" ht="12.75" customHeight="1" x14ac:dyDescent="0.2">
      <c r="A627" s="249">
        <v>7405</v>
      </c>
      <c r="B627" s="250" t="s">
        <v>1552</v>
      </c>
      <c r="C627" s="251" t="s">
        <v>1916</v>
      </c>
      <c r="D627" s="251" t="s">
        <v>184</v>
      </c>
      <c r="E627" s="251"/>
      <c r="F627" s="252" t="s">
        <v>43</v>
      </c>
      <c r="G627" s="284" t="s">
        <v>67</v>
      </c>
      <c r="H627" s="285" t="s">
        <v>180</v>
      </c>
      <c r="I627" s="251" t="s">
        <v>1524</v>
      </c>
      <c r="J627" s="251" t="s">
        <v>1912</v>
      </c>
      <c r="K627" s="255" t="s">
        <v>1913</v>
      </c>
    </row>
    <row r="628" spans="1:17" ht="12.75" customHeight="1" x14ac:dyDescent="0.2">
      <c r="A628" s="249">
        <v>16418</v>
      </c>
      <c r="B628" s="250" t="s">
        <v>1553</v>
      </c>
      <c r="C628" s="251" t="s">
        <v>1554</v>
      </c>
      <c r="D628" s="251" t="s">
        <v>206</v>
      </c>
      <c r="E628" s="251"/>
      <c r="F628" s="252" t="s">
        <v>43</v>
      </c>
      <c r="G628" s="284" t="s">
        <v>58</v>
      </c>
      <c r="H628" s="285"/>
      <c r="I628" s="251" t="s">
        <v>1524</v>
      </c>
      <c r="J628" s="251" t="s">
        <v>1912</v>
      </c>
      <c r="K628" s="255" t="s">
        <v>1913</v>
      </c>
    </row>
    <row r="629" spans="1:17" ht="12.75" customHeight="1" x14ac:dyDescent="0.2">
      <c r="A629" s="249">
        <v>25931</v>
      </c>
      <c r="B629" s="250" t="s">
        <v>1917</v>
      </c>
      <c r="C629" s="257" t="s">
        <v>1555</v>
      </c>
      <c r="D629" s="257" t="s">
        <v>213</v>
      </c>
      <c r="E629" s="257" t="s">
        <v>2374</v>
      </c>
      <c r="F629" s="252" t="s">
        <v>43</v>
      </c>
      <c r="G629" s="284" t="s">
        <v>52</v>
      </c>
      <c r="H629" s="285" t="s">
        <v>66</v>
      </c>
      <c r="I629" s="257" t="s">
        <v>1524</v>
      </c>
      <c r="J629" s="257" t="s">
        <v>1912</v>
      </c>
      <c r="K629" s="255" t="s">
        <v>1913</v>
      </c>
    </row>
    <row r="630" spans="1:17" ht="12.75" customHeight="1" x14ac:dyDescent="0.2">
      <c r="A630" s="249">
        <v>38658</v>
      </c>
      <c r="B630" s="250" t="s">
        <v>1556</v>
      </c>
      <c r="C630" s="251" t="s">
        <v>1557</v>
      </c>
      <c r="D630" s="251" t="s">
        <v>93</v>
      </c>
      <c r="E630" s="251"/>
      <c r="F630" s="252" t="s">
        <v>43</v>
      </c>
      <c r="G630" s="284" t="s">
        <v>44</v>
      </c>
      <c r="H630" s="285"/>
      <c r="I630" s="251" t="s">
        <v>1524</v>
      </c>
      <c r="J630" s="251" t="s">
        <v>1912</v>
      </c>
      <c r="K630" s="255" t="s">
        <v>1913</v>
      </c>
    </row>
    <row r="631" spans="1:17" ht="12.75" customHeight="1" x14ac:dyDescent="0.2">
      <c r="A631" s="249">
        <v>7471</v>
      </c>
      <c r="B631" s="250" t="s">
        <v>1558</v>
      </c>
      <c r="C631" s="251" t="s">
        <v>1559</v>
      </c>
      <c r="D631" s="251" t="s">
        <v>138</v>
      </c>
      <c r="E631" s="251"/>
      <c r="F631" s="252" t="s">
        <v>49</v>
      </c>
      <c r="G631" s="284" t="s">
        <v>139</v>
      </c>
      <c r="H631" s="285" t="s">
        <v>45</v>
      </c>
      <c r="I631" s="251" t="s">
        <v>1524</v>
      </c>
      <c r="J631" s="251" t="s">
        <v>1912</v>
      </c>
      <c r="K631" s="255" t="s">
        <v>1913</v>
      </c>
      <c r="L631" s="281"/>
      <c r="M631" s="281"/>
      <c r="N631" s="281"/>
      <c r="Q631" s="283"/>
    </row>
    <row r="632" spans="1:17" ht="12.75" customHeight="1" x14ac:dyDescent="0.2">
      <c r="A632" s="249">
        <v>38395</v>
      </c>
      <c r="B632" s="250" t="s">
        <v>1239</v>
      </c>
      <c r="C632" s="251" t="s">
        <v>1240</v>
      </c>
      <c r="D632" s="251" t="s">
        <v>253</v>
      </c>
      <c r="E632" s="251"/>
      <c r="F632" s="252" t="s">
        <v>43</v>
      </c>
      <c r="G632" s="284" t="s">
        <v>52</v>
      </c>
      <c r="H632" s="285" t="s">
        <v>45</v>
      </c>
      <c r="I632" s="251" t="s">
        <v>1524</v>
      </c>
      <c r="J632" s="251" t="s">
        <v>1912</v>
      </c>
      <c r="K632" s="255" t="s">
        <v>1913</v>
      </c>
    </row>
    <row r="633" spans="1:17" ht="12.75" customHeight="1" x14ac:dyDescent="0.2">
      <c r="A633" s="249">
        <v>7670</v>
      </c>
      <c r="B633" s="250" t="s">
        <v>1560</v>
      </c>
      <c r="C633" s="251" t="s">
        <v>1561</v>
      </c>
      <c r="D633" s="251" t="s">
        <v>1562</v>
      </c>
      <c r="E633" s="251"/>
      <c r="F633" s="252" t="s">
        <v>43</v>
      </c>
      <c r="G633" s="284" t="s">
        <v>52</v>
      </c>
      <c r="H633" s="285" t="s">
        <v>45</v>
      </c>
      <c r="I633" s="251" t="s">
        <v>1524</v>
      </c>
      <c r="J633" s="251" t="s">
        <v>1912</v>
      </c>
      <c r="K633" s="255" t="s">
        <v>1913</v>
      </c>
    </row>
    <row r="634" spans="1:17" ht="12.75" customHeight="1" x14ac:dyDescent="0.2">
      <c r="A634" s="249">
        <v>7679</v>
      </c>
      <c r="B634" s="250" t="s">
        <v>1563</v>
      </c>
      <c r="C634" s="251" t="s">
        <v>1561</v>
      </c>
      <c r="D634" s="251" t="s">
        <v>1564</v>
      </c>
      <c r="E634" s="251"/>
      <c r="F634" s="252" t="s">
        <v>49</v>
      </c>
      <c r="G634" s="284" t="s">
        <v>50</v>
      </c>
      <c r="H634" s="285" t="s">
        <v>51</v>
      </c>
      <c r="I634" s="251" t="s">
        <v>1524</v>
      </c>
      <c r="J634" s="251" t="s">
        <v>1912</v>
      </c>
      <c r="K634" s="255" t="s">
        <v>1913</v>
      </c>
    </row>
    <row r="635" spans="1:17" ht="12.75" customHeight="1" x14ac:dyDescent="0.2">
      <c r="A635" s="249">
        <v>7583</v>
      </c>
      <c r="B635" s="250" t="s">
        <v>1565</v>
      </c>
      <c r="C635" s="251" t="s">
        <v>1566</v>
      </c>
      <c r="D635" s="251" t="s">
        <v>73</v>
      </c>
      <c r="E635" s="251"/>
      <c r="F635" s="252" t="s">
        <v>43</v>
      </c>
      <c r="G635" s="284" t="s">
        <v>52</v>
      </c>
      <c r="H635" s="285" t="s">
        <v>180</v>
      </c>
      <c r="I635" s="251" t="s">
        <v>1524</v>
      </c>
      <c r="J635" s="251" t="s">
        <v>1912</v>
      </c>
      <c r="K635" s="255" t="s">
        <v>1913</v>
      </c>
    </row>
    <row r="636" spans="1:17" ht="12.75" customHeight="1" x14ac:dyDescent="0.2">
      <c r="A636" s="249">
        <v>7545</v>
      </c>
      <c r="B636" s="250" t="s">
        <v>1567</v>
      </c>
      <c r="C636" s="251" t="s">
        <v>1566</v>
      </c>
      <c r="D636" s="251" t="s">
        <v>1568</v>
      </c>
      <c r="E636" s="251"/>
      <c r="F636" s="252" t="s">
        <v>49</v>
      </c>
      <c r="G636" s="284" t="s">
        <v>50</v>
      </c>
      <c r="H636" s="285" t="s">
        <v>45</v>
      </c>
      <c r="I636" s="251" t="s">
        <v>1524</v>
      </c>
      <c r="J636" s="251" t="s">
        <v>1912</v>
      </c>
      <c r="K636" s="255" t="s">
        <v>1913</v>
      </c>
      <c r="L636" s="281"/>
      <c r="M636" s="281"/>
      <c r="N636" s="281"/>
      <c r="Q636" s="283"/>
    </row>
    <row r="637" spans="1:17" ht="12.75" customHeight="1" x14ac:dyDescent="0.2">
      <c r="A637" s="249">
        <v>7907</v>
      </c>
      <c r="B637" s="250" t="s">
        <v>1146</v>
      </c>
      <c r="C637" s="251" t="s">
        <v>1147</v>
      </c>
      <c r="D637" s="251" t="s">
        <v>1148</v>
      </c>
      <c r="E637" s="251"/>
      <c r="F637" s="252" t="s">
        <v>43</v>
      </c>
      <c r="G637" s="284" t="s">
        <v>52</v>
      </c>
      <c r="H637" s="285" t="s">
        <v>45</v>
      </c>
      <c r="I637" s="251" t="s">
        <v>1149</v>
      </c>
      <c r="J637" s="251" t="s">
        <v>1150</v>
      </c>
      <c r="K637" s="255" t="s">
        <v>1151</v>
      </c>
    </row>
    <row r="638" spans="1:17" ht="12.75" customHeight="1" x14ac:dyDescent="0.2">
      <c r="A638" s="249">
        <v>7914</v>
      </c>
      <c r="B638" s="250" t="s">
        <v>1152</v>
      </c>
      <c r="C638" s="251" t="s">
        <v>1153</v>
      </c>
      <c r="D638" s="251" t="s">
        <v>1154</v>
      </c>
      <c r="E638" s="251"/>
      <c r="F638" s="252" t="s">
        <v>43</v>
      </c>
      <c r="G638" s="284" t="s">
        <v>52</v>
      </c>
      <c r="H638" s="285" t="s">
        <v>180</v>
      </c>
      <c r="I638" s="251" t="s">
        <v>1149</v>
      </c>
      <c r="J638" s="251" t="s">
        <v>1150</v>
      </c>
      <c r="K638" s="255" t="s">
        <v>1151</v>
      </c>
    </row>
    <row r="639" spans="1:17" ht="12.75" customHeight="1" x14ac:dyDescent="0.2">
      <c r="A639" s="249">
        <v>38498</v>
      </c>
      <c r="B639" s="250" t="s">
        <v>1155</v>
      </c>
      <c r="C639" s="257" t="s">
        <v>1156</v>
      </c>
      <c r="D639" s="257" t="s">
        <v>1130</v>
      </c>
      <c r="E639" s="257" t="s">
        <v>2374</v>
      </c>
      <c r="F639" s="252" t="s">
        <v>43</v>
      </c>
      <c r="G639" s="284" t="s">
        <v>67</v>
      </c>
      <c r="H639" s="285"/>
      <c r="I639" s="257" t="s">
        <v>1149</v>
      </c>
      <c r="J639" s="251" t="s">
        <v>1150</v>
      </c>
      <c r="K639" s="255" t="s">
        <v>1151</v>
      </c>
    </row>
    <row r="640" spans="1:17" ht="12.75" customHeight="1" x14ac:dyDescent="0.2">
      <c r="A640" s="249">
        <v>38669</v>
      </c>
      <c r="B640" s="250" t="s">
        <v>1157</v>
      </c>
      <c r="C640" s="251" t="s">
        <v>1158</v>
      </c>
      <c r="D640" s="251" t="s">
        <v>1159</v>
      </c>
      <c r="E640" s="251"/>
      <c r="F640" s="252" t="s">
        <v>43</v>
      </c>
      <c r="G640" s="284" t="s">
        <v>67</v>
      </c>
      <c r="H640" s="285" t="s">
        <v>51</v>
      </c>
      <c r="I640" s="251" t="s">
        <v>1149</v>
      </c>
      <c r="J640" s="251" t="s">
        <v>1150</v>
      </c>
      <c r="K640" s="255" t="s">
        <v>1151</v>
      </c>
    </row>
    <row r="641" spans="1:17" s="278" customFormat="1" ht="12.75" customHeight="1" x14ac:dyDescent="0.25">
      <c r="A641" s="249">
        <v>38873</v>
      </c>
      <c r="B641" s="250" t="s">
        <v>2313</v>
      </c>
      <c r="C641" s="251" t="s">
        <v>2314</v>
      </c>
      <c r="D641" s="251" t="s">
        <v>120</v>
      </c>
      <c r="E641" s="251"/>
      <c r="F641" s="252" t="s">
        <v>43</v>
      </c>
      <c r="G641" s="284" t="s">
        <v>67</v>
      </c>
      <c r="H641" s="285" t="s">
        <v>51</v>
      </c>
      <c r="I641" s="251" t="s">
        <v>1149</v>
      </c>
      <c r="J641" s="251" t="s">
        <v>1150</v>
      </c>
      <c r="K641" s="255" t="s">
        <v>1151</v>
      </c>
    </row>
    <row r="642" spans="1:17" ht="12.75" customHeight="1" x14ac:dyDescent="0.2">
      <c r="A642" s="249">
        <v>38500</v>
      </c>
      <c r="B642" s="250" t="s">
        <v>1160</v>
      </c>
      <c r="C642" s="257" t="s">
        <v>1161</v>
      </c>
      <c r="D642" s="257" t="s">
        <v>950</v>
      </c>
      <c r="E642" s="257" t="s">
        <v>2374</v>
      </c>
      <c r="F642" s="252" t="s">
        <v>43</v>
      </c>
      <c r="G642" s="284" t="s">
        <v>52</v>
      </c>
      <c r="H642" s="285"/>
      <c r="I642" s="257" t="s">
        <v>1149</v>
      </c>
      <c r="J642" s="251" t="s">
        <v>1150</v>
      </c>
      <c r="K642" s="255" t="s">
        <v>1151</v>
      </c>
    </row>
    <row r="643" spans="1:17" ht="12.75" customHeight="1" x14ac:dyDescent="0.2">
      <c r="A643" s="249">
        <v>38502</v>
      </c>
      <c r="B643" s="250" t="s">
        <v>1162</v>
      </c>
      <c r="C643" s="257" t="s">
        <v>1163</v>
      </c>
      <c r="D643" s="257" t="s">
        <v>184</v>
      </c>
      <c r="E643" s="257" t="s">
        <v>2374</v>
      </c>
      <c r="F643" s="252" t="s">
        <v>43</v>
      </c>
      <c r="G643" s="284" t="s">
        <v>52</v>
      </c>
      <c r="H643" s="285"/>
      <c r="I643" s="257" t="s">
        <v>1149</v>
      </c>
      <c r="J643" s="251" t="s">
        <v>1150</v>
      </c>
      <c r="K643" s="255" t="s">
        <v>1151</v>
      </c>
    </row>
    <row r="644" spans="1:17" ht="12.75" customHeight="1" x14ac:dyDescent="0.2">
      <c r="A644" s="249">
        <v>7917</v>
      </c>
      <c r="B644" s="250" t="s">
        <v>1164</v>
      </c>
      <c r="C644" s="251" t="s">
        <v>1165</v>
      </c>
      <c r="D644" s="251" t="s">
        <v>1166</v>
      </c>
      <c r="E644" s="251"/>
      <c r="F644" s="252" t="s">
        <v>43</v>
      </c>
      <c r="G644" s="284" t="s">
        <v>52</v>
      </c>
      <c r="H644" s="285" t="s">
        <v>51</v>
      </c>
      <c r="I644" s="251" t="s">
        <v>1149</v>
      </c>
      <c r="J644" s="251" t="s">
        <v>1150</v>
      </c>
      <c r="K644" s="255" t="s">
        <v>1151</v>
      </c>
    </row>
    <row r="645" spans="1:17" ht="12.75" customHeight="1" x14ac:dyDescent="0.2">
      <c r="A645" s="249">
        <v>7906</v>
      </c>
      <c r="B645" s="250" t="s">
        <v>1167</v>
      </c>
      <c r="C645" s="251" t="s">
        <v>1168</v>
      </c>
      <c r="D645" s="251" t="s">
        <v>1169</v>
      </c>
      <c r="E645" s="251"/>
      <c r="F645" s="252" t="s">
        <v>43</v>
      </c>
      <c r="G645" s="284" t="s">
        <v>52</v>
      </c>
      <c r="H645" s="285" t="s">
        <v>51</v>
      </c>
      <c r="I645" s="251" t="s">
        <v>1149</v>
      </c>
      <c r="J645" s="251" t="s">
        <v>1150</v>
      </c>
      <c r="K645" s="255" t="s">
        <v>1151</v>
      </c>
    </row>
    <row r="646" spans="1:17" s="278" customFormat="1" ht="12.75" customHeight="1" x14ac:dyDescent="0.25">
      <c r="A646" s="249">
        <v>7909</v>
      </c>
      <c r="B646" s="250" t="s">
        <v>1170</v>
      </c>
      <c r="C646" s="251" t="s">
        <v>1168</v>
      </c>
      <c r="D646" s="251" t="s">
        <v>120</v>
      </c>
      <c r="E646" s="251"/>
      <c r="F646" s="252" t="s">
        <v>43</v>
      </c>
      <c r="G646" s="284" t="s">
        <v>52</v>
      </c>
      <c r="H646" s="285" t="s">
        <v>45</v>
      </c>
      <c r="I646" s="251" t="s">
        <v>1149</v>
      </c>
      <c r="J646" s="251" t="s">
        <v>1150</v>
      </c>
      <c r="K646" s="255" t="s">
        <v>1151</v>
      </c>
    </row>
    <row r="647" spans="1:17" ht="12.75" customHeight="1" x14ac:dyDescent="0.2">
      <c r="A647" s="249">
        <v>38916</v>
      </c>
      <c r="B647" s="250" t="s">
        <v>2487</v>
      </c>
      <c r="C647" s="251" t="s">
        <v>600</v>
      </c>
      <c r="D647" s="251" t="s">
        <v>2488</v>
      </c>
      <c r="E647" s="251"/>
      <c r="F647" s="252" t="s">
        <v>43</v>
      </c>
      <c r="G647" s="284" t="s">
        <v>67</v>
      </c>
      <c r="H647" s="285">
        <v>0</v>
      </c>
      <c r="I647" s="251" t="s">
        <v>1149</v>
      </c>
      <c r="J647" s="251" t="s">
        <v>1150</v>
      </c>
      <c r="K647" s="255" t="s">
        <v>1151</v>
      </c>
    </row>
    <row r="648" spans="1:17" ht="12.75" customHeight="1" x14ac:dyDescent="0.2">
      <c r="A648" s="249">
        <v>38749</v>
      </c>
      <c r="B648" s="250" t="s">
        <v>1992</v>
      </c>
      <c r="C648" s="251" t="s">
        <v>1993</v>
      </c>
      <c r="D648" s="251" t="s">
        <v>1468</v>
      </c>
      <c r="E648" s="251"/>
      <c r="F648" s="252" t="s">
        <v>43</v>
      </c>
      <c r="G648" s="284" t="s">
        <v>94</v>
      </c>
      <c r="H648" s="285"/>
      <c r="I648" s="251" t="s">
        <v>1149</v>
      </c>
      <c r="J648" s="251" t="s">
        <v>1150</v>
      </c>
      <c r="K648" s="255" t="s">
        <v>1151</v>
      </c>
      <c r="L648" s="281"/>
      <c r="M648" s="281"/>
      <c r="N648" s="281"/>
      <c r="Q648" s="283"/>
    </row>
    <row r="649" spans="1:17" ht="12.75" customHeight="1" x14ac:dyDescent="0.2">
      <c r="A649" s="249">
        <v>38590</v>
      </c>
      <c r="B649" s="250" t="s">
        <v>1171</v>
      </c>
      <c r="C649" s="251" t="s">
        <v>1172</v>
      </c>
      <c r="D649" s="251" t="s">
        <v>99</v>
      </c>
      <c r="E649" s="251"/>
      <c r="F649" s="252" t="s">
        <v>43</v>
      </c>
      <c r="G649" s="284" t="s">
        <v>44</v>
      </c>
      <c r="H649" s="285" t="s">
        <v>45</v>
      </c>
      <c r="I649" s="251" t="s">
        <v>1149</v>
      </c>
      <c r="J649" s="251" t="s">
        <v>1150</v>
      </c>
      <c r="K649" s="255" t="s">
        <v>1151</v>
      </c>
      <c r="L649" s="281"/>
      <c r="M649" s="281"/>
      <c r="N649" s="281"/>
      <c r="Q649" s="283"/>
    </row>
    <row r="650" spans="1:17" ht="12.75" customHeight="1" x14ac:dyDescent="0.2">
      <c r="A650" s="249">
        <v>25502</v>
      </c>
      <c r="B650" s="250" t="s">
        <v>1176</v>
      </c>
      <c r="C650" s="251" t="s">
        <v>81</v>
      </c>
      <c r="D650" s="251" t="s">
        <v>117</v>
      </c>
      <c r="E650" s="251"/>
      <c r="F650" s="252" t="s">
        <v>43</v>
      </c>
      <c r="G650" s="284" t="s">
        <v>52</v>
      </c>
      <c r="H650" s="285" t="s">
        <v>66</v>
      </c>
      <c r="I650" s="251" t="s">
        <v>1173</v>
      </c>
      <c r="J650" s="251" t="s">
        <v>1174</v>
      </c>
      <c r="K650" s="255" t="s">
        <v>1175</v>
      </c>
    </row>
    <row r="651" spans="1:17" ht="12.75" customHeight="1" x14ac:dyDescent="0.2">
      <c r="A651" s="249">
        <v>25684</v>
      </c>
      <c r="B651" s="250" t="s">
        <v>2353</v>
      </c>
      <c r="C651" s="251" t="s">
        <v>1180</v>
      </c>
      <c r="D651" s="251" t="s">
        <v>827</v>
      </c>
      <c r="E651" s="251"/>
      <c r="F651" s="252" t="s">
        <v>43</v>
      </c>
      <c r="G651" s="284" t="s">
        <v>44</v>
      </c>
      <c r="H651" s="285" t="s">
        <v>66</v>
      </c>
      <c r="I651" s="251" t="s">
        <v>1173</v>
      </c>
      <c r="J651" s="251" t="s">
        <v>1174</v>
      </c>
      <c r="K651" s="255" t="s">
        <v>1175</v>
      </c>
    </row>
    <row r="652" spans="1:17" ht="12.75" customHeight="1" x14ac:dyDescent="0.2">
      <c r="A652" s="249">
        <v>38741</v>
      </c>
      <c r="B652" s="250" t="s">
        <v>1994</v>
      </c>
      <c r="C652" s="251" t="s">
        <v>974</v>
      </c>
      <c r="D652" s="251" t="s">
        <v>120</v>
      </c>
      <c r="E652" s="251"/>
      <c r="F652" s="252" t="s">
        <v>43</v>
      </c>
      <c r="G652" s="284" t="s">
        <v>52</v>
      </c>
      <c r="H652" s="285" t="s">
        <v>51</v>
      </c>
      <c r="I652" s="251" t="s">
        <v>1173</v>
      </c>
      <c r="J652" s="251" t="s">
        <v>1174</v>
      </c>
      <c r="K652" s="255" t="s">
        <v>1175</v>
      </c>
    </row>
    <row r="653" spans="1:17" ht="12.75" customHeight="1" x14ac:dyDescent="0.2">
      <c r="A653" s="249">
        <v>38214</v>
      </c>
      <c r="B653" s="250" t="s">
        <v>1477</v>
      </c>
      <c r="C653" s="257" t="s">
        <v>92</v>
      </c>
      <c r="D653" s="257" t="s">
        <v>64</v>
      </c>
      <c r="E653" s="257" t="s">
        <v>2374</v>
      </c>
      <c r="F653" s="252" t="s">
        <v>43</v>
      </c>
      <c r="G653" s="284" t="s">
        <v>94</v>
      </c>
      <c r="H653" s="285" t="s">
        <v>45</v>
      </c>
      <c r="I653" s="257" t="s">
        <v>1173</v>
      </c>
      <c r="J653" s="257" t="s">
        <v>1174</v>
      </c>
      <c r="K653" s="255" t="s">
        <v>1175</v>
      </c>
    </row>
    <row r="654" spans="1:17" ht="12.75" customHeight="1" x14ac:dyDescent="0.2">
      <c r="A654" s="249">
        <v>25055</v>
      </c>
      <c r="B654" s="250" t="s">
        <v>1181</v>
      </c>
      <c r="C654" s="257" t="s">
        <v>1182</v>
      </c>
      <c r="D654" s="257" t="s">
        <v>253</v>
      </c>
      <c r="E654" s="257" t="s">
        <v>2374</v>
      </c>
      <c r="F654" s="252" t="s">
        <v>43</v>
      </c>
      <c r="G654" s="284" t="s">
        <v>58</v>
      </c>
      <c r="H654" s="285" t="s">
        <v>45</v>
      </c>
      <c r="I654" s="257" t="s">
        <v>1173</v>
      </c>
      <c r="J654" s="257" t="s">
        <v>1174</v>
      </c>
      <c r="K654" s="255" t="s">
        <v>1175</v>
      </c>
    </row>
    <row r="655" spans="1:17" ht="12.75" customHeight="1" x14ac:dyDescent="0.2">
      <c r="A655" s="249">
        <v>38450</v>
      </c>
      <c r="B655" s="250" t="s">
        <v>1183</v>
      </c>
      <c r="C655" s="257" t="s">
        <v>1182</v>
      </c>
      <c r="D655" s="257" t="s">
        <v>143</v>
      </c>
      <c r="E655" s="257" t="s">
        <v>2374</v>
      </c>
      <c r="F655" s="252" t="s">
        <v>43</v>
      </c>
      <c r="G655" s="284" t="s">
        <v>44</v>
      </c>
      <c r="H655" s="285" t="s">
        <v>45</v>
      </c>
      <c r="I655" s="257" t="s">
        <v>1173</v>
      </c>
      <c r="J655" s="257" t="s">
        <v>1174</v>
      </c>
      <c r="K655" s="255" t="s">
        <v>1175</v>
      </c>
    </row>
    <row r="656" spans="1:17" ht="12.75" customHeight="1" x14ac:dyDescent="0.2">
      <c r="A656" s="249">
        <v>38112</v>
      </c>
      <c r="B656" s="250" t="s">
        <v>1184</v>
      </c>
      <c r="C656" s="251" t="s">
        <v>577</v>
      </c>
      <c r="D656" s="251" t="s">
        <v>953</v>
      </c>
      <c r="E656" s="251"/>
      <c r="F656" s="252" t="s">
        <v>43</v>
      </c>
      <c r="G656" s="284" t="s">
        <v>44</v>
      </c>
      <c r="H656" s="285" t="s">
        <v>66</v>
      </c>
      <c r="I656" s="251" t="s">
        <v>1173</v>
      </c>
      <c r="J656" s="251" t="s">
        <v>1174</v>
      </c>
      <c r="K656" s="255" t="s">
        <v>1175</v>
      </c>
      <c r="L656" s="281"/>
      <c r="M656" s="281"/>
      <c r="N656" s="281"/>
      <c r="Q656" s="283"/>
    </row>
    <row r="657" spans="1:11" ht="12.75" customHeight="1" x14ac:dyDescent="0.2">
      <c r="A657" s="249">
        <v>25901</v>
      </c>
      <c r="B657" s="250">
        <v>9111314</v>
      </c>
      <c r="C657" s="251" t="s">
        <v>1185</v>
      </c>
      <c r="D657" s="251" t="s">
        <v>70</v>
      </c>
      <c r="E657" s="251"/>
      <c r="F657" s="252" t="s">
        <v>43</v>
      </c>
      <c r="G657" s="284" t="s">
        <v>44</v>
      </c>
      <c r="H657" s="285" t="s">
        <v>45</v>
      </c>
      <c r="I657" s="251" t="s">
        <v>1173</v>
      </c>
      <c r="J657" s="251" t="s">
        <v>1174</v>
      </c>
      <c r="K657" s="255" t="s">
        <v>1175</v>
      </c>
    </row>
    <row r="658" spans="1:11" s="278" customFormat="1" ht="12.75" customHeight="1" x14ac:dyDescent="0.25">
      <c r="A658" s="249">
        <v>38576</v>
      </c>
      <c r="B658" s="250" t="s">
        <v>1396</v>
      </c>
      <c r="C658" s="257" t="s">
        <v>809</v>
      </c>
      <c r="D658" s="257" t="s">
        <v>132</v>
      </c>
      <c r="E658" s="257" t="s">
        <v>2374</v>
      </c>
      <c r="F658" s="252" t="s">
        <v>43</v>
      </c>
      <c r="G658" s="284" t="s">
        <v>44</v>
      </c>
      <c r="H658" s="285" t="s">
        <v>180</v>
      </c>
      <c r="I658" s="257" t="s">
        <v>1173</v>
      </c>
      <c r="J658" s="257" t="s">
        <v>1174</v>
      </c>
      <c r="K658" s="255" t="s">
        <v>1175</v>
      </c>
    </row>
    <row r="659" spans="1:11" ht="12.75" customHeight="1" x14ac:dyDescent="0.2">
      <c r="A659" s="249">
        <v>16393</v>
      </c>
      <c r="B659" s="250">
        <v>9109463</v>
      </c>
      <c r="C659" s="251" t="s">
        <v>1189</v>
      </c>
      <c r="D659" s="251" t="s">
        <v>987</v>
      </c>
      <c r="E659" s="251"/>
      <c r="F659" s="252" t="s">
        <v>43</v>
      </c>
      <c r="G659" s="284" t="s">
        <v>58</v>
      </c>
      <c r="H659" s="285"/>
      <c r="I659" s="257" t="s">
        <v>1173</v>
      </c>
      <c r="J659" s="251" t="s">
        <v>1174</v>
      </c>
      <c r="K659" s="255" t="s">
        <v>1175</v>
      </c>
    </row>
    <row r="660" spans="1:11" ht="12.75" customHeight="1" x14ac:dyDescent="0.2">
      <c r="A660" s="249">
        <v>25302</v>
      </c>
      <c r="B660" s="250" t="s">
        <v>1190</v>
      </c>
      <c r="C660" s="257" t="s">
        <v>1191</v>
      </c>
      <c r="D660" s="257" t="s">
        <v>213</v>
      </c>
      <c r="E660" s="257" t="s">
        <v>2374</v>
      </c>
      <c r="F660" s="252" t="s">
        <v>43</v>
      </c>
      <c r="G660" s="284" t="s">
        <v>67</v>
      </c>
      <c r="H660" s="285" t="s">
        <v>45</v>
      </c>
      <c r="I660" s="257" t="s">
        <v>1173</v>
      </c>
      <c r="J660" s="257" t="s">
        <v>1174</v>
      </c>
      <c r="K660" s="255" t="s">
        <v>1175</v>
      </c>
    </row>
    <row r="661" spans="1:11" ht="12.75" customHeight="1" x14ac:dyDescent="0.2">
      <c r="A661" s="249">
        <v>25074</v>
      </c>
      <c r="B661" s="250" t="s">
        <v>2207</v>
      </c>
      <c r="C661" s="251" t="s">
        <v>2208</v>
      </c>
      <c r="D661" s="251" t="s">
        <v>2209</v>
      </c>
      <c r="E661" s="251"/>
      <c r="F661" s="252" t="s">
        <v>43</v>
      </c>
      <c r="G661" s="284" t="s">
        <v>44</v>
      </c>
      <c r="H661" s="285"/>
      <c r="I661" s="251" t="s">
        <v>1173</v>
      </c>
      <c r="J661" s="251" t="s">
        <v>1174</v>
      </c>
      <c r="K661" s="255" t="s">
        <v>1175</v>
      </c>
    </row>
    <row r="662" spans="1:11" ht="12.75" customHeight="1" x14ac:dyDescent="0.2">
      <c r="A662" s="249">
        <v>16402</v>
      </c>
      <c r="B662" s="250" t="s">
        <v>1192</v>
      </c>
      <c r="C662" s="251" t="s">
        <v>1193</v>
      </c>
      <c r="D662" s="251" t="s">
        <v>987</v>
      </c>
      <c r="E662" s="251"/>
      <c r="F662" s="252" t="s">
        <v>43</v>
      </c>
      <c r="G662" s="284" t="s">
        <v>52</v>
      </c>
      <c r="H662" s="285" t="s">
        <v>45</v>
      </c>
      <c r="I662" s="251" t="s">
        <v>1173</v>
      </c>
      <c r="J662" s="251" t="s">
        <v>1174</v>
      </c>
      <c r="K662" s="255" t="s">
        <v>1175</v>
      </c>
    </row>
    <row r="663" spans="1:11" ht="12.75" customHeight="1" x14ac:dyDescent="0.2">
      <c r="A663" s="249">
        <v>16763</v>
      </c>
      <c r="B663" s="250" t="s">
        <v>1194</v>
      </c>
      <c r="C663" s="251" t="s">
        <v>60</v>
      </c>
      <c r="D663" s="251" t="s">
        <v>703</v>
      </c>
      <c r="E663" s="251"/>
      <c r="F663" s="252" t="s">
        <v>43</v>
      </c>
      <c r="G663" s="284" t="s">
        <v>44</v>
      </c>
      <c r="H663" s="285" t="s">
        <v>66</v>
      </c>
      <c r="I663" s="251" t="s">
        <v>1173</v>
      </c>
      <c r="J663" s="251" t="s">
        <v>1174</v>
      </c>
      <c r="K663" s="255" t="s">
        <v>1175</v>
      </c>
    </row>
    <row r="664" spans="1:11" ht="12.75" customHeight="1" x14ac:dyDescent="0.2">
      <c r="A664" s="249">
        <v>16391</v>
      </c>
      <c r="B664" s="250" t="s">
        <v>2210</v>
      </c>
      <c r="C664" s="257" t="s">
        <v>2211</v>
      </c>
      <c r="D664" s="257" t="s">
        <v>213</v>
      </c>
      <c r="E664" s="257" t="s">
        <v>2374</v>
      </c>
      <c r="F664" s="252" t="s">
        <v>43</v>
      </c>
      <c r="G664" s="260" t="s">
        <v>58</v>
      </c>
      <c r="H664" s="261">
        <v>0</v>
      </c>
      <c r="I664" s="257" t="s">
        <v>1173</v>
      </c>
      <c r="J664" s="257" t="s">
        <v>1174</v>
      </c>
      <c r="K664" s="255" t="s">
        <v>1175</v>
      </c>
    </row>
    <row r="665" spans="1:11" ht="12.75" customHeight="1" x14ac:dyDescent="0.2">
      <c r="A665" s="249">
        <v>25802</v>
      </c>
      <c r="B665" s="250">
        <v>9105696</v>
      </c>
      <c r="C665" s="257" t="s">
        <v>1195</v>
      </c>
      <c r="D665" s="257" t="s">
        <v>300</v>
      </c>
      <c r="E665" s="257" t="s">
        <v>2374</v>
      </c>
      <c r="F665" s="252" t="s">
        <v>43</v>
      </c>
      <c r="G665" s="284" t="s">
        <v>58</v>
      </c>
      <c r="H665" s="285" t="s">
        <v>51</v>
      </c>
      <c r="I665" s="257" t="s">
        <v>1173</v>
      </c>
      <c r="J665" s="257" t="s">
        <v>1174</v>
      </c>
      <c r="K665" s="255" t="s">
        <v>1175</v>
      </c>
    </row>
    <row r="666" spans="1:11" ht="12.75" customHeight="1" x14ac:dyDescent="0.2">
      <c r="A666" s="249">
        <v>16390</v>
      </c>
      <c r="B666" s="250" t="s">
        <v>1196</v>
      </c>
      <c r="C666" s="257" t="s">
        <v>1197</v>
      </c>
      <c r="D666" s="257" t="s">
        <v>582</v>
      </c>
      <c r="E666" s="257" t="s">
        <v>2374</v>
      </c>
      <c r="F666" s="252" t="s">
        <v>43</v>
      </c>
      <c r="G666" s="284" t="s">
        <v>52</v>
      </c>
      <c r="H666" s="285" t="s">
        <v>45</v>
      </c>
      <c r="I666" s="257" t="s">
        <v>1173</v>
      </c>
      <c r="J666" s="257" t="s">
        <v>1174</v>
      </c>
      <c r="K666" s="255" t="s">
        <v>1175</v>
      </c>
    </row>
    <row r="667" spans="1:11" ht="12.75" customHeight="1" x14ac:dyDescent="0.2">
      <c r="A667" s="249">
        <v>16389</v>
      </c>
      <c r="B667" s="250">
        <v>9109464</v>
      </c>
      <c r="C667" s="251" t="s">
        <v>1198</v>
      </c>
      <c r="D667" s="251" t="s">
        <v>284</v>
      </c>
      <c r="E667" s="251"/>
      <c r="F667" s="252" t="s">
        <v>43</v>
      </c>
      <c r="G667" s="284" t="s">
        <v>58</v>
      </c>
      <c r="H667" s="285" t="s">
        <v>104</v>
      </c>
      <c r="I667" s="257" t="s">
        <v>1173</v>
      </c>
      <c r="J667" s="251" t="s">
        <v>1174</v>
      </c>
      <c r="K667" s="255" t="s">
        <v>1175</v>
      </c>
    </row>
    <row r="668" spans="1:11" ht="12.75" customHeight="1" x14ac:dyDescent="0.2">
      <c r="A668" s="249">
        <v>21197</v>
      </c>
      <c r="B668" s="250" t="s">
        <v>1199</v>
      </c>
      <c r="C668" s="257" t="s">
        <v>1200</v>
      </c>
      <c r="D668" s="257" t="s">
        <v>59</v>
      </c>
      <c r="E668" s="257" t="s">
        <v>2374</v>
      </c>
      <c r="F668" s="252" t="s">
        <v>43</v>
      </c>
      <c r="G668" s="284" t="s">
        <v>44</v>
      </c>
      <c r="H668" s="285" t="s">
        <v>180</v>
      </c>
      <c r="I668" s="257" t="s">
        <v>1173</v>
      </c>
      <c r="J668" s="257" t="s">
        <v>1174</v>
      </c>
      <c r="K668" s="255" t="s">
        <v>1175</v>
      </c>
    </row>
    <row r="669" spans="1:11" ht="12.75" customHeight="1" x14ac:dyDescent="0.2">
      <c r="A669" s="249">
        <v>7493</v>
      </c>
      <c r="B669" s="250" t="s">
        <v>1201</v>
      </c>
      <c r="C669" s="251" t="s">
        <v>1202</v>
      </c>
      <c r="D669" s="251" t="s">
        <v>73</v>
      </c>
      <c r="E669" s="251"/>
      <c r="F669" s="252" t="s">
        <v>43</v>
      </c>
      <c r="G669" s="284" t="s">
        <v>58</v>
      </c>
      <c r="H669" s="285" t="s">
        <v>45</v>
      </c>
      <c r="I669" s="251" t="s">
        <v>1173</v>
      </c>
      <c r="J669" s="251" t="s">
        <v>1174</v>
      </c>
      <c r="K669" s="255" t="s">
        <v>1175</v>
      </c>
    </row>
    <row r="670" spans="1:11" ht="12.75" customHeight="1" x14ac:dyDescent="0.2">
      <c r="A670" s="249">
        <v>25554</v>
      </c>
      <c r="B670" s="250" t="s">
        <v>1206</v>
      </c>
      <c r="C670" s="251" t="s">
        <v>1207</v>
      </c>
      <c r="D670" s="251" t="s">
        <v>747</v>
      </c>
      <c r="E670" s="251"/>
      <c r="F670" s="252" t="s">
        <v>43</v>
      </c>
      <c r="G670" s="284" t="s">
        <v>52</v>
      </c>
      <c r="H670" s="285" t="s">
        <v>66</v>
      </c>
      <c r="I670" s="251" t="s">
        <v>1205</v>
      </c>
      <c r="J670" s="251" t="s">
        <v>1174</v>
      </c>
      <c r="K670" s="255" t="s">
        <v>1175</v>
      </c>
    </row>
    <row r="671" spans="1:11" ht="12.75" customHeight="1" x14ac:dyDescent="0.2">
      <c r="A671" s="249">
        <v>38706</v>
      </c>
      <c r="B671" s="250" t="s">
        <v>1879</v>
      </c>
      <c r="C671" s="264" t="s">
        <v>272</v>
      </c>
      <c r="D671" s="257" t="s">
        <v>1880</v>
      </c>
      <c r="E671" s="257" t="s">
        <v>2374</v>
      </c>
      <c r="F671" s="252" t="s">
        <v>43</v>
      </c>
      <c r="G671" s="284" t="s">
        <v>89</v>
      </c>
      <c r="H671" s="285" t="s">
        <v>104</v>
      </c>
      <c r="I671" s="257" t="s">
        <v>1205</v>
      </c>
      <c r="J671" s="257" t="s">
        <v>1174</v>
      </c>
      <c r="K671" s="255" t="s">
        <v>1175</v>
      </c>
    </row>
    <row r="672" spans="1:11" ht="12.75" customHeight="1" x14ac:dyDescent="0.2">
      <c r="A672" s="249">
        <v>16398</v>
      </c>
      <c r="B672" s="250" t="s">
        <v>1208</v>
      </c>
      <c r="C672" s="251" t="s">
        <v>1209</v>
      </c>
      <c r="D672" s="251" t="s">
        <v>1210</v>
      </c>
      <c r="E672" s="251"/>
      <c r="F672" s="252" t="s">
        <v>43</v>
      </c>
      <c r="G672" s="284" t="s">
        <v>67</v>
      </c>
      <c r="H672" s="285" t="s">
        <v>180</v>
      </c>
      <c r="I672" s="257" t="s">
        <v>1205</v>
      </c>
      <c r="J672" s="251" t="s">
        <v>1174</v>
      </c>
      <c r="K672" s="255" t="s">
        <v>1175</v>
      </c>
    </row>
    <row r="673" spans="1:11" ht="12.75" customHeight="1" x14ac:dyDescent="0.2">
      <c r="A673" s="249">
        <v>7418</v>
      </c>
      <c r="B673" s="250" t="s">
        <v>1211</v>
      </c>
      <c r="C673" s="251" t="s">
        <v>1212</v>
      </c>
      <c r="D673" s="251" t="s">
        <v>767</v>
      </c>
      <c r="E673" s="251"/>
      <c r="F673" s="252" t="s">
        <v>43</v>
      </c>
      <c r="G673" s="284" t="s">
        <v>67</v>
      </c>
      <c r="H673" s="285" t="s">
        <v>180</v>
      </c>
      <c r="I673" s="251" t="s">
        <v>1205</v>
      </c>
      <c r="J673" s="251" t="s">
        <v>1174</v>
      </c>
      <c r="K673" s="255" t="s">
        <v>1175</v>
      </c>
    </row>
    <row r="674" spans="1:11" ht="12.75" customHeight="1" x14ac:dyDescent="0.2">
      <c r="A674" s="249">
        <v>38673</v>
      </c>
      <c r="B674" s="250" t="s">
        <v>1662</v>
      </c>
      <c r="C674" s="251" t="s">
        <v>1212</v>
      </c>
      <c r="D674" s="251" t="s">
        <v>1663</v>
      </c>
      <c r="E674" s="251"/>
      <c r="F674" s="252" t="s">
        <v>43</v>
      </c>
      <c r="G674" s="284" t="s">
        <v>94</v>
      </c>
      <c r="H674" s="285" t="s">
        <v>45</v>
      </c>
      <c r="I674" s="251" t="s">
        <v>1205</v>
      </c>
      <c r="J674" s="251" t="s">
        <v>1174</v>
      </c>
      <c r="K674" s="255" t="s">
        <v>1175</v>
      </c>
    </row>
    <row r="675" spans="1:11" ht="12.75" customHeight="1" x14ac:dyDescent="0.2">
      <c r="A675" s="249">
        <v>7596</v>
      </c>
      <c r="B675" s="250" t="s">
        <v>1213</v>
      </c>
      <c r="C675" s="251" t="s">
        <v>1214</v>
      </c>
      <c r="D675" s="251" t="s">
        <v>125</v>
      </c>
      <c r="E675" s="251"/>
      <c r="F675" s="252" t="s">
        <v>43</v>
      </c>
      <c r="G675" s="253" t="s">
        <v>67</v>
      </c>
      <c r="H675" s="254">
        <v>0</v>
      </c>
      <c r="I675" s="251" t="s">
        <v>1205</v>
      </c>
      <c r="J675" s="251" t="s">
        <v>1174</v>
      </c>
      <c r="K675" s="255" t="s">
        <v>1175</v>
      </c>
    </row>
    <row r="676" spans="1:11" ht="12.75" customHeight="1" x14ac:dyDescent="0.2">
      <c r="A676" s="249">
        <v>38918</v>
      </c>
      <c r="B676" s="250" t="s">
        <v>2489</v>
      </c>
      <c r="C676" s="251" t="s">
        <v>2490</v>
      </c>
      <c r="D676" s="251" t="s">
        <v>827</v>
      </c>
      <c r="E676" s="251"/>
      <c r="F676" s="252" t="s">
        <v>43</v>
      </c>
      <c r="G676" s="253" t="s">
        <v>44</v>
      </c>
      <c r="H676" s="254">
        <v>0</v>
      </c>
      <c r="I676" s="251" t="s">
        <v>1205</v>
      </c>
      <c r="J676" s="251" t="s">
        <v>1174</v>
      </c>
      <c r="K676" s="255" t="s">
        <v>1175</v>
      </c>
    </row>
    <row r="677" spans="1:11" ht="12.75" customHeight="1" x14ac:dyDescent="0.2">
      <c r="A677" s="249">
        <v>38910</v>
      </c>
      <c r="B677" s="250" t="s">
        <v>2491</v>
      </c>
      <c r="C677" s="251" t="s">
        <v>2490</v>
      </c>
      <c r="D677" s="251" t="s">
        <v>2492</v>
      </c>
      <c r="E677" s="251"/>
      <c r="F677" s="252" t="s">
        <v>49</v>
      </c>
      <c r="G677" s="253" t="s">
        <v>773</v>
      </c>
      <c r="H677" s="254">
        <v>0</v>
      </c>
      <c r="I677" s="251" t="s">
        <v>1205</v>
      </c>
      <c r="J677" s="251" t="s">
        <v>1174</v>
      </c>
      <c r="K677" s="255" t="s">
        <v>1175</v>
      </c>
    </row>
    <row r="678" spans="1:11" ht="12.75" customHeight="1" x14ac:dyDescent="0.2">
      <c r="A678" s="249">
        <v>7881</v>
      </c>
      <c r="B678" s="250" t="s">
        <v>1215</v>
      </c>
      <c r="C678" s="251" t="s">
        <v>1216</v>
      </c>
      <c r="D678" s="251" t="s">
        <v>687</v>
      </c>
      <c r="E678" s="251"/>
      <c r="F678" s="252" t="s">
        <v>43</v>
      </c>
      <c r="G678" s="284" t="s">
        <v>44</v>
      </c>
      <c r="H678" s="285" t="s">
        <v>180</v>
      </c>
      <c r="I678" s="251" t="s">
        <v>1205</v>
      </c>
      <c r="J678" s="251" t="s">
        <v>1174</v>
      </c>
      <c r="K678" s="255" t="s">
        <v>1175</v>
      </c>
    </row>
    <row r="679" spans="1:11" ht="12.75" customHeight="1" x14ac:dyDescent="0.2">
      <c r="A679" s="249">
        <v>7883</v>
      </c>
      <c r="B679" s="250" t="s">
        <v>1217</v>
      </c>
      <c r="C679" s="251" t="s">
        <v>1218</v>
      </c>
      <c r="D679" s="251" t="s">
        <v>1169</v>
      </c>
      <c r="E679" s="251"/>
      <c r="F679" s="252" t="s">
        <v>43</v>
      </c>
      <c r="G679" s="284" t="s">
        <v>67</v>
      </c>
      <c r="H679" s="285" t="s">
        <v>239</v>
      </c>
      <c r="I679" s="251" t="s">
        <v>1205</v>
      </c>
      <c r="J679" s="251" t="s">
        <v>1174</v>
      </c>
      <c r="K679" s="255" t="s">
        <v>1175</v>
      </c>
    </row>
    <row r="680" spans="1:11" ht="12.75" customHeight="1" x14ac:dyDescent="0.2">
      <c r="A680" s="249">
        <v>25540</v>
      </c>
      <c r="B680" s="250" t="s">
        <v>1919</v>
      </c>
      <c r="C680" s="257" t="s">
        <v>1218</v>
      </c>
      <c r="D680" s="257" t="s">
        <v>488</v>
      </c>
      <c r="E680" s="257" t="s">
        <v>2374</v>
      </c>
      <c r="F680" s="252" t="s">
        <v>43</v>
      </c>
      <c r="G680" s="284" t="s">
        <v>44</v>
      </c>
      <c r="H680" s="285" t="s">
        <v>239</v>
      </c>
      <c r="I680" s="257" t="s">
        <v>1205</v>
      </c>
      <c r="J680" s="257" t="s">
        <v>1174</v>
      </c>
      <c r="K680" s="255" t="s">
        <v>1175</v>
      </c>
    </row>
    <row r="681" spans="1:11" ht="12.75" customHeight="1" x14ac:dyDescent="0.2">
      <c r="A681" s="249">
        <v>38890</v>
      </c>
      <c r="B681" s="250" t="s">
        <v>2354</v>
      </c>
      <c r="C681" s="251" t="s">
        <v>2355</v>
      </c>
      <c r="D681" s="251" t="s">
        <v>138</v>
      </c>
      <c r="E681" s="251"/>
      <c r="F681" s="252" t="s">
        <v>49</v>
      </c>
      <c r="G681" s="284" t="s">
        <v>773</v>
      </c>
      <c r="H681" s="285" t="s">
        <v>104</v>
      </c>
      <c r="I681" s="251" t="s">
        <v>1205</v>
      </c>
      <c r="J681" s="251" t="s">
        <v>1174</v>
      </c>
      <c r="K681" s="255" t="s">
        <v>1175</v>
      </c>
    </row>
    <row r="682" spans="1:11" ht="12.75" customHeight="1" x14ac:dyDescent="0.2">
      <c r="A682" s="249">
        <v>25675</v>
      </c>
      <c r="B682" s="250" t="s">
        <v>2364</v>
      </c>
      <c r="C682" s="251" t="s">
        <v>1372</v>
      </c>
      <c r="D682" s="251" t="s">
        <v>78</v>
      </c>
      <c r="E682" s="251"/>
      <c r="F682" s="252" t="s">
        <v>49</v>
      </c>
      <c r="G682" s="284" t="s">
        <v>139</v>
      </c>
      <c r="H682" s="285" t="s">
        <v>45</v>
      </c>
      <c r="I682" s="251" t="s">
        <v>1205</v>
      </c>
      <c r="J682" s="251" t="s">
        <v>1174</v>
      </c>
      <c r="K682" s="255" t="s">
        <v>1175</v>
      </c>
    </row>
    <row r="683" spans="1:11" ht="12.75" customHeight="1" x14ac:dyDescent="0.2">
      <c r="A683" s="249">
        <v>7557</v>
      </c>
      <c r="B683" s="250" t="s">
        <v>1222</v>
      </c>
      <c r="C683" s="251" t="s">
        <v>1223</v>
      </c>
      <c r="D683" s="251" t="s">
        <v>381</v>
      </c>
      <c r="E683" s="251"/>
      <c r="F683" s="252" t="s">
        <v>43</v>
      </c>
      <c r="G683" s="284" t="s">
        <v>67</v>
      </c>
      <c r="H683" s="285" t="s">
        <v>66</v>
      </c>
      <c r="I683" s="251" t="s">
        <v>1205</v>
      </c>
      <c r="J683" s="251" t="s">
        <v>1174</v>
      </c>
      <c r="K683" s="255" t="s">
        <v>1175</v>
      </c>
    </row>
    <row r="684" spans="1:11" ht="12.75" customHeight="1" x14ac:dyDescent="0.2">
      <c r="A684" s="249">
        <v>7879</v>
      </c>
      <c r="B684" s="250" t="s">
        <v>1224</v>
      </c>
      <c r="C684" s="251" t="s">
        <v>1225</v>
      </c>
      <c r="D684" s="251" t="s">
        <v>125</v>
      </c>
      <c r="E684" s="251"/>
      <c r="F684" s="252" t="s">
        <v>43</v>
      </c>
      <c r="G684" s="284" t="s">
        <v>44</v>
      </c>
      <c r="H684" s="285" t="s">
        <v>239</v>
      </c>
      <c r="I684" s="251" t="s">
        <v>1205</v>
      </c>
      <c r="J684" s="251" t="s">
        <v>1174</v>
      </c>
      <c r="K684" s="255" t="s">
        <v>1175</v>
      </c>
    </row>
    <row r="685" spans="1:11" ht="12.75" customHeight="1" x14ac:dyDescent="0.2">
      <c r="A685" s="249">
        <v>38868</v>
      </c>
      <c r="B685" s="250" t="s">
        <v>2315</v>
      </c>
      <c r="C685" s="251" t="s">
        <v>1191</v>
      </c>
      <c r="D685" s="251" t="s">
        <v>2203</v>
      </c>
      <c r="E685" s="251"/>
      <c r="F685" s="252" t="s">
        <v>49</v>
      </c>
      <c r="G685" s="284" t="s">
        <v>340</v>
      </c>
      <c r="H685" s="285" t="s">
        <v>104</v>
      </c>
      <c r="I685" s="251" t="s">
        <v>1205</v>
      </c>
      <c r="J685" s="251" t="s">
        <v>1174</v>
      </c>
      <c r="K685" s="255" t="s">
        <v>1175</v>
      </c>
    </row>
    <row r="686" spans="1:11" ht="12.75" customHeight="1" x14ac:dyDescent="0.2">
      <c r="A686" s="249">
        <v>13493</v>
      </c>
      <c r="B686" s="250" t="s">
        <v>1226</v>
      </c>
      <c r="C686" s="257" t="s">
        <v>1227</v>
      </c>
      <c r="D686" s="257" t="s">
        <v>99</v>
      </c>
      <c r="E686" s="257" t="s">
        <v>2374</v>
      </c>
      <c r="F686" s="252" t="s">
        <v>43</v>
      </c>
      <c r="G686" s="284" t="s">
        <v>44</v>
      </c>
      <c r="H686" s="285" t="s">
        <v>239</v>
      </c>
      <c r="I686" s="257" t="s">
        <v>1205</v>
      </c>
      <c r="J686" s="257" t="s">
        <v>1174</v>
      </c>
      <c r="K686" s="255" t="s">
        <v>1175</v>
      </c>
    </row>
    <row r="687" spans="1:11" ht="12.75" customHeight="1" x14ac:dyDescent="0.2">
      <c r="A687" s="249">
        <v>38349</v>
      </c>
      <c r="B687" s="250" t="s">
        <v>1626</v>
      </c>
      <c r="C687" s="251" t="s">
        <v>1627</v>
      </c>
      <c r="D687" s="251" t="s">
        <v>1628</v>
      </c>
      <c r="E687" s="251"/>
      <c r="F687" s="252" t="s">
        <v>43</v>
      </c>
      <c r="G687" s="284" t="s">
        <v>360</v>
      </c>
      <c r="H687" s="285" t="s">
        <v>66</v>
      </c>
      <c r="I687" s="251" t="s">
        <v>1205</v>
      </c>
      <c r="J687" s="251" t="s">
        <v>1174</v>
      </c>
      <c r="K687" s="255" t="s">
        <v>1175</v>
      </c>
    </row>
    <row r="688" spans="1:11" ht="12.75" customHeight="1" x14ac:dyDescent="0.2">
      <c r="A688" s="249">
        <v>27134</v>
      </c>
      <c r="B688" s="250" t="s">
        <v>2402</v>
      </c>
      <c r="C688" s="251" t="s">
        <v>1918</v>
      </c>
      <c r="D688" s="251" t="s">
        <v>82</v>
      </c>
      <c r="E688" s="251"/>
      <c r="F688" s="252" t="s">
        <v>43</v>
      </c>
      <c r="G688" s="284" t="s">
        <v>44</v>
      </c>
      <c r="H688" s="285" t="s">
        <v>180</v>
      </c>
      <c r="I688" s="251" t="s">
        <v>1205</v>
      </c>
      <c r="J688" s="251" t="s">
        <v>1174</v>
      </c>
      <c r="K688" s="255" t="s">
        <v>1175</v>
      </c>
    </row>
    <row r="689" spans="1:11" ht="12.75" customHeight="1" x14ac:dyDescent="0.2">
      <c r="A689" s="249">
        <v>38648</v>
      </c>
      <c r="B689" s="250" t="s">
        <v>929</v>
      </c>
      <c r="C689" s="251" t="s">
        <v>711</v>
      </c>
      <c r="D689" s="251" t="s">
        <v>930</v>
      </c>
      <c r="E689" s="251"/>
      <c r="F689" s="252" t="s">
        <v>43</v>
      </c>
      <c r="G689" s="284" t="s">
        <v>44</v>
      </c>
      <c r="H689" s="285" t="s">
        <v>180</v>
      </c>
      <c r="I689" s="251" t="s">
        <v>1205</v>
      </c>
      <c r="J689" s="251" t="s">
        <v>1174</v>
      </c>
      <c r="K689" s="255" t="s">
        <v>1175</v>
      </c>
    </row>
    <row r="690" spans="1:11" ht="12.75" customHeight="1" x14ac:dyDescent="0.2">
      <c r="A690" s="249">
        <v>25839</v>
      </c>
      <c r="B690" s="250" t="s">
        <v>2403</v>
      </c>
      <c r="C690" s="257" t="s">
        <v>1228</v>
      </c>
      <c r="D690" s="257" t="s">
        <v>65</v>
      </c>
      <c r="E690" s="257" t="s">
        <v>2374</v>
      </c>
      <c r="F690" s="252" t="s">
        <v>43</v>
      </c>
      <c r="G690" s="284" t="s">
        <v>52</v>
      </c>
      <c r="H690" s="285" t="s">
        <v>45</v>
      </c>
      <c r="I690" s="257" t="s">
        <v>1205</v>
      </c>
      <c r="J690" s="257" t="s">
        <v>1174</v>
      </c>
      <c r="K690" s="255" t="s">
        <v>1175</v>
      </c>
    </row>
    <row r="691" spans="1:11" ht="12.75" customHeight="1" x14ac:dyDescent="0.2">
      <c r="A691" s="249">
        <v>25778</v>
      </c>
      <c r="B691" s="250" t="s">
        <v>2493</v>
      </c>
      <c r="C691" s="251" t="s">
        <v>1691</v>
      </c>
      <c r="D691" s="251" t="s">
        <v>107</v>
      </c>
      <c r="E691" s="251"/>
      <c r="F691" s="252" t="s">
        <v>43</v>
      </c>
      <c r="G691" s="284" t="s">
        <v>67</v>
      </c>
      <c r="H691" s="285" t="s">
        <v>66</v>
      </c>
      <c r="I691" s="251" t="s">
        <v>1205</v>
      </c>
      <c r="J691" s="251" t="s">
        <v>1174</v>
      </c>
      <c r="K691" s="255" t="s">
        <v>1175</v>
      </c>
    </row>
    <row r="692" spans="1:11" ht="12.75" customHeight="1" x14ac:dyDescent="0.2">
      <c r="A692" s="249">
        <v>7489</v>
      </c>
      <c r="B692" s="250" t="s">
        <v>1402</v>
      </c>
      <c r="C692" s="257" t="s">
        <v>397</v>
      </c>
      <c r="D692" s="257" t="s">
        <v>99</v>
      </c>
      <c r="E692" s="257" t="s">
        <v>2374</v>
      </c>
      <c r="F692" s="252" t="s">
        <v>43</v>
      </c>
      <c r="G692" s="284" t="s">
        <v>67</v>
      </c>
      <c r="H692" s="285" t="s">
        <v>180</v>
      </c>
      <c r="I692" s="257" t="s">
        <v>1205</v>
      </c>
      <c r="J692" s="257" t="s">
        <v>1174</v>
      </c>
      <c r="K692" s="255" t="s">
        <v>1175</v>
      </c>
    </row>
    <row r="693" spans="1:11" ht="12.75" customHeight="1" x14ac:dyDescent="0.2">
      <c r="A693" s="249">
        <v>38769</v>
      </c>
      <c r="B693" s="250" t="s">
        <v>2032</v>
      </c>
      <c r="C693" s="251" t="s">
        <v>2033</v>
      </c>
      <c r="D693" s="251" t="s">
        <v>263</v>
      </c>
      <c r="E693" s="251"/>
      <c r="F693" s="252" t="s">
        <v>43</v>
      </c>
      <c r="G693" s="284" t="s">
        <v>94</v>
      </c>
      <c r="H693" s="285" t="s">
        <v>45</v>
      </c>
      <c r="I693" s="251" t="s">
        <v>1205</v>
      </c>
      <c r="J693" s="251" t="s">
        <v>1174</v>
      </c>
      <c r="K693" s="255" t="s">
        <v>1175</v>
      </c>
    </row>
    <row r="694" spans="1:11" ht="12.75" customHeight="1" x14ac:dyDescent="0.2">
      <c r="A694" s="249">
        <v>38785</v>
      </c>
      <c r="B694" s="250" t="s">
        <v>2098</v>
      </c>
      <c r="C694" s="251" t="s">
        <v>1229</v>
      </c>
      <c r="D694" s="251" t="s">
        <v>2099</v>
      </c>
      <c r="E694" s="251"/>
      <c r="F694" s="252" t="s">
        <v>49</v>
      </c>
      <c r="G694" s="284" t="s">
        <v>773</v>
      </c>
      <c r="H694" s="285" t="s">
        <v>104</v>
      </c>
      <c r="I694" s="251" t="s">
        <v>1205</v>
      </c>
      <c r="J694" s="251" t="s">
        <v>1174</v>
      </c>
      <c r="K694" s="255" t="s">
        <v>1175</v>
      </c>
    </row>
    <row r="695" spans="1:11" ht="12.75" customHeight="1" x14ac:dyDescent="0.2">
      <c r="A695" s="249">
        <v>7442</v>
      </c>
      <c r="B695" s="250" t="s">
        <v>1920</v>
      </c>
      <c r="C695" s="251" t="s">
        <v>1229</v>
      </c>
      <c r="D695" s="251" t="s">
        <v>1921</v>
      </c>
      <c r="E695" s="251"/>
      <c r="F695" s="252" t="s">
        <v>49</v>
      </c>
      <c r="G695" s="284" t="s">
        <v>79</v>
      </c>
      <c r="H695" s="285" t="s">
        <v>45</v>
      </c>
      <c r="I695" s="251" t="s">
        <v>1205</v>
      </c>
      <c r="J695" s="251" t="s">
        <v>1174</v>
      </c>
      <c r="K695" s="255" t="s">
        <v>1175</v>
      </c>
    </row>
    <row r="696" spans="1:11" ht="12.75" customHeight="1" x14ac:dyDescent="0.2">
      <c r="A696" s="249">
        <v>7653</v>
      </c>
      <c r="B696" s="250">
        <v>9099125</v>
      </c>
      <c r="C696" s="251" t="s">
        <v>1229</v>
      </c>
      <c r="D696" s="251" t="s">
        <v>491</v>
      </c>
      <c r="E696" s="251"/>
      <c r="F696" s="252" t="s">
        <v>43</v>
      </c>
      <c r="G696" s="284" t="s">
        <v>44</v>
      </c>
      <c r="H696" s="285" t="s">
        <v>239</v>
      </c>
      <c r="I696" s="251" t="s">
        <v>1205</v>
      </c>
      <c r="J696" s="251" t="s">
        <v>1174</v>
      </c>
      <c r="K696" s="255" t="s">
        <v>1175</v>
      </c>
    </row>
    <row r="697" spans="1:11" ht="12.75" customHeight="1" x14ac:dyDescent="0.2">
      <c r="A697" s="249">
        <v>38659</v>
      </c>
      <c r="B697" s="250" t="s">
        <v>1667</v>
      </c>
      <c r="C697" s="251" t="s">
        <v>1668</v>
      </c>
      <c r="D697" s="251" t="s">
        <v>540</v>
      </c>
      <c r="E697" s="251"/>
      <c r="F697" s="252" t="s">
        <v>43</v>
      </c>
      <c r="G697" s="284" t="s">
        <v>360</v>
      </c>
      <c r="H697" s="285" t="s">
        <v>180</v>
      </c>
      <c r="I697" s="251" t="s">
        <v>1205</v>
      </c>
      <c r="J697" s="251" t="s">
        <v>1174</v>
      </c>
      <c r="K697" s="255" t="s">
        <v>1175</v>
      </c>
    </row>
    <row r="698" spans="1:11" ht="12.75" customHeight="1" x14ac:dyDescent="0.2">
      <c r="A698" s="249">
        <v>38660</v>
      </c>
      <c r="B698" s="250" t="s">
        <v>1669</v>
      </c>
      <c r="C698" s="251" t="s">
        <v>1668</v>
      </c>
      <c r="D698" s="251" t="s">
        <v>1670</v>
      </c>
      <c r="E698" s="251"/>
      <c r="F698" s="252" t="s">
        <v>43</v>
      </c>
      <c r="G698" s="284" t="s">
        <v>360</v>
      </c>
      <c r="H698" s="285" t="s">
        <v>180</v>
      </c>
      <c r="I698" s="251" t="s">
        <v>1205</v>
      </c>
      <c r="J698" s="251" t="s">
        <v>1174</v>
      </c>
      <c r="K698" s="255" t="s">
        <v>1175</v>
      </c>
    </row>
    <row r="699" spans="1:11" ht="12.75" customHeight="1" x14ac:dyDescent="0.2">
      <c r="A699" s="249">
        <v>38830</v>
      </c>
      <c r="B699" s="250" t="s">
        <v>2212</v>
      </c>
      <c r="C699" s="251" t="s">
        <v>2213</v>
      </c>
      <c r="D699" s="251" t="s">
        <v>1059</v>
      </c>
      <c r="E699" s="251"/>
      <c r="F699" s="252" t="s">
        <v>43</v>
      </c>
      <c r="G699" s="284" t="s">
        <v>44</v>
      </c>
      <c r="H699" s="285" t="s">
        <v>45</v>
      </c>
      <c r="I699" s="251" t="s">
        <v>1205</v>
      </c>
      <c r="J699" s="251" t="s">
        <v>1174</v>
      </c>
      <c r="K699" s="255" t="s">
        <v>1175</v>
      </c>
    </row>
    <row r="700" spans="1:11" ht="12.75" customHeight="1" x14ac:dyDescent="0.2">
      <c r="A700" s="249">
        <v>24496</v>
      </c>
      <c r="B700" s="250" t="s">
        <v>2214</v>
      </c>
      <c r="C700" s="251" t="s">
        <v>2215</v>
      </c>
      <c r="D700" s="251" t="s">
        <v>632</v>
      </c>
      <c r="E700" s="251"/>
      <c r="F700" s="252" t="s">
        <v>43</v>
      </c>
      <c r="G700" s="284" t="s">
        <v>44</v>
      </c>
      <c r="H700" s="285" t="s">
        <v>180</v>
      </c>
      <c r="I700" s="251" t="s">
        <v>1205</v>
      </c>
      <c r="J700" s="251" t="s">
        <v>1174</v>
      </c>
      <c r="K700" s="255" t="s">
        <v>1175</v>
      </c>
    </row>
    <row r="701" spans="1:11" ht="12.75" customHeight="1" x14ac:dyDescent="0.2">
      <c r="A701" s="249">
        <v>7428</v>
      </c>
      <c r="B701" s="250" t="s">
        <v>1692</v>
      </c>
      <c r="C701" s="251" t="s">
        <v>1693</v>
      </c>
      <c r="D701" s="251" t="s">
        <v>107</v>
      </c>
      <c r="E701" s="251"/>
      <c r="F701" s="252" t="s">
        <v>43</v>
      </c>
      <c r="G701" s="253" t="s">
        <v>44</v>
      </c>
      <c r="H701" s="254">
        <v>0</v>
      </c>
      <c r="I701" s="257" t="s">
        <v>1205</v>
      </c>
      <c r="J701" s="257" t="s">
        <v>1174</v>
      </c>
      <c r="K701" s="255" t="s">
        <v>1175</v>
      </c>
    </row>
    <row r="702" spans="1:11" ht="12.75" customHeight="1" x14ac:dyDescent="0.2">
      <c r="A702" s="249">
        <v>7602</v>
      </c>
      <c r="B702" s="250" t="s">
        <v>2404</v>
      </c>
      <c r="C702" s="251" t="s">
        <v>1233</v>
      </c>
      <c r="D702" s="251" t="s">
        <v>403</v>
      </c>
      <c r="E702" s="251"/>
      <c r="F702" s="252" t="s">
        <v>43</v>
      </c>
      <c r="G702" s="284" t="s">
        <v>44</v>
      </c>
      <c r="H702" s="285"/>
      <c r="I702" s="251" t="s">
        <v>1205</v>
      </c>
      <c r="J702" s="251" t="s">
        <v>1174</v>
      </c>
      <c r="K702" s="255" t="s">
        <v>1175</v>
      </c>
    </row>
    <row r="703" spans="1:11" ht="12.75" customHeight="1" x14ac:dyDescent="0.2">
      <c r="A703" s="249">
        <v>38801</v>
      </c>
      <c r="B703" s="250" t="s">
        <v>2240</v>
      </c>
      <c r="C703" s="257" t="s">
        <v>2241</v>
      </c>
      <c r="D703" s="257" t="s">
        <v>1109</v>
      </c>
      <c r="E703" s="257" t="s">
        <v>2374</v>
      </c>
      <c r="F703" s="252" t="s">
        <v>49</v>
      </c>
      <c r="G703" s="284" t="s">
        <v>139</v>
      </c>
      <c r="H703" s="285" t="s">
        <v>45</v>
      </c>
      <c r="I703" s="257" t="s">
        <v>1205</v>
      </c>
      <c r="J703" s="257" t="s">
        <v>1174</v>
      </c>
      <c r="K703" s="255" t="s">
        <v>1175</v>
      </c>
    </row>
    <row r="704" spans="1:11" ht="12.75" customHeight="1" x14ac:dyDescent="0.2">
      <c r="A704" s="249">
        <v>41008</v>
      </c>
      <c r="B704" s="250" t="s">
        <v>2494</v>
      </c>
      <c r="C704" s="251" t="s">
        <v>2495</v>
      </c>
      <c r="D704" s="251" t="s">
        <v>282</v>
      </c>
      <c r="E704" s="251"/>
      <c r="F704" s="252" t="s">
        <v>43</v>
      </c>
      <c r="G704" s="253" t="s">
        <v>44</v>
      </c>
      <c r="H704" s="254" t="s">
        <v>66</v>
      </c>
      <c r="I704" s="251" t="s">
        <v>1205</v>
      </c>
      <c r="J704" s="251" t="s">
        <v>1174</v>
      </c>
      <c r="K704" s="255" t="s">
        <v>1175</v>
      </c>
    </row>
    <row r="705" spans="1:17" ht="12.75" customHeight="1" x14ac:dyDescent="0.2">
      <c r="A705" s="249">
        <v>7264</v>
      </c>
      <c r="B705" s="250" t="s">
        <v>1234</v>
      </c>
      <c r="C705" s="251" t="s">
        <v>1235</v>
      </c>
      <c r="D705" s="251" t="s">
        <v>767</v>
      </c>
      <c r="E705" s="251"/>
      <c r="F705" s="252" t="s">
        <v>43</v>
      </c>
      <c r="G705" s="284" t="s">
        <v>44</v>
      </c>
      <c r="H705" s="285" t="s">
        <v>180</v>
      </c>
      <c r="I705" s="251" t="s">
        <v>1205</v>
      </c>
      <c r="J705" s="251" t="s">
        <v>1174</v>
      </c>
      <c r="K705" s="255" t="s">
        <v>1175</v>
      </c>
    </row>
    <row r="706" spans="1:17" ht="12.75" customHeight="1" x14ac:dyDescent="0.2">
      <c r="A706" s="249">
        <v>38312</v>
      </c>
      <c r="B706" s="250" t="s">
        <v>1236</v>
      </c>
      <c r="C706" s="251" t="s">
        <v>1237</v>
      </c>
      <c r="D706" s="251" t="s">
        <v>1238</v>
      </c>
      <c r="E706" s="251"/>
      <c r="F706" s="252" t="s">
        <v>43</v>
      </c>
      <c r="G706" s="253" t="s">
        <v>44</v>
      </c>
      <c r="H706" s="254">
        <v>0</v>
      </c>
      <c r="I706" s="251" t="s">
        <v>1205</v>
      </c>
      <c r="J706" s="251" t="s">
        <v>1174</v>
      </c>
      <c r="K706" s="255" t="s">
        <v>1175</v>
      </c>
    </row>
    <row r="707" spans="1:17" ht="12.75" customHeight="1" x14ac:dyDescent="0.2">
      <c r="A707" s="249">
        <v>38634</v>
      </c>
      <c r="B707" s="250" t="s">
        <v>1403</v>
      </c>
      <c r="C707" s="257" t="s">
        <v>1404</v>
      </c>
      <c r="D707" s="257" t="s">
        <v>1405</v>
      </c>
      <c r="E707" s="257" t="s">
        <v>2374</v>
      </c>
      <c r="F707" s="252" t="s">
        <v>49</v>
      </c>
      <c r="G707" s="284" t="s">
        <v>79</v>
      </c>
      <c r="H707" s="285" t="s">
        <v>45</v>
      </c>
      <c r="I707" s="257" t="s">
        <v>1205</v>
      </c>
      <c r="J707" s="257" t="s">
        <v>1174</v>
      </c>
      <c r="K707" s="255" t="s">
        <v>1175</v>
      </c>
    </row>
    <row r="708" spans="1:17" ht="12.75" customHeight="1" x14ac:dyDescent="0.2">
      <c r="A708" s="249">
        <v>38846</v>
      </c>
      <c r="B708" s="250" t="s">
        <v>2216</v>
      </c>
      <c r="C708" s="251" t="s">
        <v>2217</v>
      </c>
      <c r="D708" s="251" t="s">
        <v>1449</v>
      </c>
      <c r="E708" s="251"/>
      <c r="F708" s="252" t="s">
        <v>43</v>
      </c>
      <c r="G708" s="284" t="s">
        <v>89</v>
      </c>
      <c r="H708" s="285" t="s">
        <v>51</v>
      </c>
      <c r="I708" s="251" t="s">
        <v>1205</v>
      </c>
      <c r="J708" s="251" t="s">
        <v>1174</v>
      </c>
      <c r="K708" s="255" t="s">
        <v>1175</v>
      </c>
      <c r="L708" s="281"/>
      <c r="M708" s="281"/>
      <c r="N708" s="281"/>
      <c r="Q708" s="283"/>
    </row>
    <row r="709" spans="1:17" ht="12.75" customHeight="1" x14ac:dyDescent="0.2">
      <c r="A709" s="249">
        <v>16351</v>
      </c>
      <c r="B709" s="250" t="s">
        <v>1241</v>
      </c>
      <c r="C709" s="251" t="s">
        <v>1242</v>
      </c>
      <c r="D709" s="251" t="s">
        <v>1243</v>
      </c>
      <c r="E709" s="251"/>
      <c r="F709" s="252" t="s">
        <v>43</v>
      </c>
      <c r="G709" s="284" t="s">
        <v>44</v>
      </c>
      <c r="H709" s="285" t="s">
        <v>239</v>
      </c>
      <c r="I709" s="251" t="s">
        <v>1205</v>
      </c>
      <c r="J709" s="251" t="s">
        <v>1174</v>
      </c>
      <c r="K709" s="255" t="s">
        <v>1175</v>
      </c>
    </row>
    <row r="710" spans="1:17" ht="12.75" customHeight="1" x14ac:dyDescent="0.2">
      <c r="A710" s="249">
        <v>38904</v>
      </c>
      <c r="B710" s="250" t="s">
        <v>2496</v>
      </c>
      <c r="C710" s="251" t="s">
        <v>501</v>
      </c>
      <c r="D710" s="251" t="s">
        <v>2497</v>
      </c>
      <c r="E710" s="251"/>
      <c r="F710" s="252" t="s">
        <v>43</v>
      </c>
      <c r="G710" s="253" t="s">
        <v>2052</v>
      </c>
      <c r="H710" s="254">
        <v>0</v>
      </c>
      <c r="I710" s="251" t="s">
        <v>1205</v>
      </c>
      <c r="J710" s="251" t="s">
        <v>1174</v>
      </c>
      <c r="K710" s="255" t="s">
        <v>1175</v>
      </c>
      <c r="L710" s="281"/>
      <c r="M710" s="281"/>
      <c r="N710" s="281"/>
      <c r="Q710" s="283"/>
    </row>
    <row r="711" spans="1:17" ht="12.75" customHeight="1" x14ac:dyDescent="0.2">
      <c r="A711" s="249">
        <v>38613</v>
      </c>
      <c r="B711" s="250" t="s">
        <v>949</v>
      </c>
      <c r="C711" s="251" t="s">
        <v>732</v>
      </c>
      <c r="D711" s="251" t="s">
        <v>950</v>
      </c>
      <c r="E711" s="251"/>
      <c r="F711" s="252" t="s">
        <v>43</v>
      </c>
      <c r="G711" s="284" t="s">
        <v>44</v>
      </c>
      <c r="H711" s="285" t="s">
        <v>66</v>
      </c>
      <c r="I711" s="251" t="s">
        <v>1205</v>
      </c>
      <c r="J711" s="251" t="s">
        <v>1174</v>
      </c>
      <c r="K711" s="255" t="s">
        <v>1175</v>
      </c>
      <c r="L711" s="281"/>
      <c r="M711" s="281"/>
      <c r="N711" s="281"/>
      <c r="Q711" s="283"/>
    </row>
    <row r="712" spans="1:17" ht="12.75" customHeight="1" x14ac:dyDescent="0.2">
      <c r="A712" s="249">
        <v>25325</v>
      </c>
      <c r="B712" s="250" t="s">
        <v>1246</v>
      </c>
      <c r="C712" s="251" t="s">
        <v>1247</v>
      </c>
      <c r="D712" s="251" t="s">
        <v>107</v>
      </c>
      <c r="E712" s="251"/>
      <c r="F712" s="252" t="s">
        <v>43</v>
      </c>
      <c r="G712" s="284" t="s">
        <v>44</v>
      </c>
      <c r="H712" s="285" t="s">
        <v>66</v>
      </c>
      <c r="I712" s="251" t="s">
        <v>1205</v>
      </c>
      <c r="J712" s="251" t="s">
        <v>1174</v>
      </c>
      <c r="K712" s="255" t="s">
        <v>1175</v>
      </c>
    </row>
    <row r="713" spans="1:17" ht="12.75" customHeight="1" x14ac:dyDescent="0.2">
      <c r="A713" s="249">
        <v>25849</v>
      </c>
      <c r="B713" s="250" t="s">
        <v>1248</v>
      </c>
      <c r="C713" s="251" t="s">
        <v>1249</v>
      </c>
      <c r="D713" s="251" t="s">
        <v>125</v>
      </c>
      <c r="E713" s="251"/>
      <c r="F713" s="252" t="s">
        <v>43</v>
      </c>
      <c r="G713" s="284" t="s">
        <v>94</v>
      </c>
      <c r="H713" s="285" t="s">
        <v>180</v>
      </c>
      <c r="I713" s="251" t="s">
        <v>1205</v>
      </c>
      <c r="J713" s="251" t="s">
        <v>1174</v>
      </c>
      <c r="K713" s="255" t="s">
        <v>1175</v>
      </c>
    </row>
    <row r="714" spans="1:17" ht="12.75" customHeight="1" x14ac:dyDescent="0.2">
      <c r="A714" s="249">
        <v>7028</v>
      </c>
      <c r="B714" s="250" t="s">
        <v>1251</v>
      </c>
      <c r="C714" s="251" t="s">
        <v>1249</v>
      </c>
      <c r="D714" s="251" t="s">
        <v>143</v>
      </c>
      <c r="E714" s="251"/>
      <c r="F714" s="252" t="s">
        <v>43</v>
      </c>
      <c r="G714" s="284" t="s">
        <v>67</v>
      </c>
      <c r="H714" s="285" t="s">
        <v>45</v>
      </c>
      <c r="I714" s="251" t="s">
        <v>1205</v>
      </c>
      <c r="J714" s="251" t="s">
        <v>1174</v>
      </c>
      <c r="K714" s="255" t="s">
        <v>1175</v>
      </c>
    </row>
    <row r="715" spans="1:17" ht="12.75" customHeight="1" x14ac:dyDescent="0.2">
      <c r="A715" s="249">
        <v>25695</v>
      </c>
      <c r="B715" s="250" t="s">
        <v>1252</v>
      </c>
      <c r="C715" s="257" t="s">
        <v>1249</v>
      </c>
      <c r="D715" s="257" t="s">
        <v>132</v>
      </c>
      <c r="E715" s="257" t="s">
        <v>2374</v>
      </c>
      <c r="F715" s="252" t="s">
        <v>43</v>
      </c>
      <c r="G715" s="284" t="s">
        <v>44</v>
      </c>
      <c r="H715" s="285" t="s">
        <v>45</v>
      </c>
      <c r="I715" s="251" t="s">
        <v>1205</v>
      </c>
      <c r="J715" s="257" t="s">
        <v>1174</v>
      </c>
      <c r="K715" s="255" t="s">
        <v>1175</v>
      </c>
    </row>
    <row r="716" spans="1:17" ht="12.75" customHeight="1" x14ac:dyDescent="0.2">
      <c r="A716" s="249">
        <v>7009</v>
      </c>
      <c r="B716" s="250" t="s">
        <v>1253</v>
      </c>
      <c r="C716" s="251" t="s">
        <v>1254</v>
      </c>
      <c r="D716" s="251" t="s">
        <v>61</v>
      </c>
      <c r="E716" s="251"/>
      <c r="F716" s="252" t="s">
        <v>43</v>
      </c>
      <c r="G716" s="284" t="s">
        <v>44</v>
      </c>
      <c r="H716" s="285" t="s">
        <v>66</v>
      </c>
      <c r="I716" s="251" t="s">
        <v>1205</v>
      </c>
      <c r="J716" s="251" t="s">
        <v>1174</v>
      </c>
      <c r="K716" s="255" t="s">
        <v>1175</v>
      </c>
    </row>
    <row r="717" spans="1:17" ht="12.75" customHeight="1" x14ac:dyDescent="0.2">
      <c r="A717" s="249">
        <v>38787</v>
      </c>
      <c r="B717" s="250" t="s">
        <v>2498</v>
      </c>
      <c r="C717" s="251" t="s">
        <v>2499</v>
      </c>
      <c r="D717" s="251" t="s">
        <v>195</v>
      </c>
      <c r="E717" s="251"/>
      <c r="F717" s="252" t="s">
        <v>43</v>
      </c>
      <c r="G717" s="253" t="s">
        <v>44</v>
      </c>
      <c r="H717" s="254">
        <v>0</v>
      </c>
      <c r="I717" s="251" t="s">
        <v>1205</v>
      </c>
      <c r="J717" s="251" t="s">
        <v>1174</v>
      </c>
      <c r="K717" s="255" t="s">
        <v>1175</v>
      </c>
    </row>
    <row r="718" spans="1:17" ht="12.75" customHeight="1" x14ac:dyDescent="0.2">
      <c r="A718" s="249">
        <v>7087</v>
      </c>
      <c r="B718" s="250" t="s">
        <v>2500</v>
      </c>
      <c r="C718" s="251" t="s">
        <v>908</v>
      </c>
      <c r="D718" s="251" t="s">
        <v>1255</v>
      </c>
      <c r="E718" s="251"/>
      <c r="F718" s="252" t="s">
        <v>49</v>
      </c>
      <c r="G718" s="284" t="s">
        <v>50</v>
      </c>
      <c r="H718" s="285" t="s">
        <v>180</v>
      </c>
      <c r="I718" s="251" t="s">
        <v>1256</v>
      </c>
      <c r="J718" s="251" t="s">
        <v>1174</v>
      </c>
      <c r="K718" s="255" t="s">
        <v>1175</v>
      </c>
    </row>
    <row r="719" spans="1:17" ht="12.75" customHeight="1" x14ac:dyDescent="0.2">
      <c r="A719" s="249">
        <v>7431</v>
      </c>
      <c r="B719" s="250" t="s">
        <v>1257</v>
      </c>
      <c r="C719" s="251" t="s">
        <v>1209</v>
      </c>
      <c r="D719" s="251" t="s">
        <v>934</v>
      </c>
      <c r="E719" s="251"/>
      <c r="F719" s="252" t="s">
        <v>49</v>
      </c>
      <c r="G719" s="284" t="s">
        <v>139</v>
      </c>
      <c r="H719" s="285" t="s">
        <v>66</v>
      </c>
      <c r="I719" s="251" t="s">
        <v>1256</v>
      </c>
      <c r="J719" s="251" t="s">
        <v>1174</v>
      </c>
      <c r="K719" s="255" t="s">
        <v>1175</v>
      </c>
    </row>
    <row r="720" spans="1:17" ht="12.75" customHeight="1" x14ac:dyDescent="0.2">
      <c r="A720" s="249">
        <v>16414</v>
      </c>
      <c r="B720" s="250" t="s">
        <v>2290</v>
      </c>
      <c r="C720" s="257" t="s">
        <v>1258</v>
      </c>
      <c r="D720" s="257" t="s">
        <v>1259</v>
      </c>
      <c r="E720" s="257" t="s">
        <v>2374</v>
      </c>
      <c r="F720" s="252" t="s">
        <v>49</v>
      </c>
      <c r="G720" s="284" t="s">
        <v>139</v>
      </c>
      <c r="H720" s="285" t="s">
        <v>66</v>
      </c>
      <c r="I720" s="257" t="s">
        <v>1256</v>
      </c>
      <c r="J720" s="257" t="s">
        <v>1174</v>
      </c>
      <c r="K720" s="255" t="s">
        <v>1175</v>
      </c>
    </row>
    <row r="721" spans="1:17" ht="12.75" customHeight="1" x14ac:dyDescent="0.2">
      <c r="A721" s="249">
        <v>16713</v>
      </c>
      <c r="B721" s="250" t="s">
        <v>1260</v>
      </c>
      <c r="C721" s="257" t="s">
        <v>1261</v>
      </c>
      <c r="D721" s="257" t="s">
        <v>148</v>
      </c>
      <c r="E721" s="257" t="s">
        <v>2374</v>
      </c>
      <c r="F721" s="252" t="s">
        <v>49</v>
      </c>
      <c r="G721" s="284" t="s">
        <v>50</v>
      </c>
      <c r="H721" s="285" t="s">
        <v>45</v>
      </c>
      <c r="I721" s="257" t="s">
        <v>1256</v>
      </c>
      <c r="J721" s="257" t="s">
        <v>1174</v>
      </c>
      <c r="K721" s="255" t="s">
        <v>1175</v>
      </c>
    </row>
    <row r="722" spans="1:17" ht="12.75" customHeight="1" x14ac:dyDescent="0.2">
      <c r="A722" s="249">
        <v>7541</v>
      </c>
      <c r="B722" s="250" t="s">
        <v>1262</v>
      </c>
      <c r="C722" s="257" t="s">
        <v>1263</v>
      </c>
      <c r="D722" s="257" t="s">
        <v>1264</v>
      </c>
      <c r="E722" s="257" t="s">
        <v>2374</v>
      </c>
      <c r="F722" s="252" t="s">
        <v>49</v>
      </c>
      <c r="G722" s="284" t="s">
        <v>228</v>
      </c>
      <c r="H722" s="285"/>
      <c r="I722" s="257" t="s">
        <v>1256</v>
      </c>
      <c r="J722" s="257" t="s">
        <v>1174</v>
      </c>
      <c r="K722" s="255" t="s">
        <v>1175</v>
      </c>
      <c r="L722" s="281"/>
      <c r="M722" s="281"/>
      <c r="N722" s="281"/>
      <c r="Q722" s="283"/>
    </row>
    <row r="723" spans="1:17" ht="12.75" customHeight="1" x14ac:dyDescent="0.2">
      <c r="A723" s="249">
        <v>7167</v>
      </c>
      <c r="B723" s="250" t="s">
        <v>1265</v>
      </c>
      <c r="C723" s="251" t="s">
        <v>1266</v>
      </c>
      <c r="D723" s="251" t="s">
        <v>1267</v>
      </c>
      <c r="E723" s="251"/>
      <c r="F723" s="252" t="s">
        <v>49</v>
      </c>
      <c r="G723" s="284" t="s">
        <v>139</v>
      </c>
      <c r="H723" s="285" t="s">
        <v>180</v>
      </c>
      <c r="I723" s="251" t="s">
        <v>1256</v>
      </c>
      <c r="J723" s="251" t="s">
        <v>1174</v>
      </c>
      <c r="K723" s="255" t="s">
        <v>1175</v>
      </c>
    </row>
    <row r="724" spans="1:17" ht="12.75" customHeight="1" x14ac:dyDescent="0.2">
      <c r="A724" s="249">
        <v>7546</v>
      </c>
      <c r="B724" s="250" t="s">
        <v>2501</v>
      </c>
      <c r="C724" s="251" t="s">
        <v>1270</v>
      </c>
      <c r="D724" s="251" t="s">
        <v>1271</v>
      </c>
      <c r="E724" s="251"/>
      <c r="F724" s="252" t="s">
        <v>49</v>
      </c>
      <c r="G724" s="284" t="s">
        <v>228</v>
      </c>
      <c r="H724" s="285" t="s">
        <v>66</v>
      </c>
      <c r="I724" s="251" t="s">
        <v>1256</v>
      </c>
      <c r="J724" s="251" t="s">
        <v>1174</v>
      </c>
      <c r="K724" s="255" t="s">
        <v>1175</v>
      </c>
    </row>
    <row r="725" spans="1:17" ht="12.75" customHeight="1" x14ac:dyDescent="0.2">
      <c r="A725" s="249">
        <v>16953</v>
      </c>
      <c r="B725" s="250" t="s">
        <v>1272</v>
      </c>
      <c r="C725" s="257" t="s">
        <v>1273</v>
      </c>
      <c r="D725" s="257" t="s">
        <v>1250</v>
      </c>
      <c r="E725" s="257" t="s">
        <v>2374</v>
      </c>
      <c r="F725" s="252" t="s">
        <v>49</v>
      </c>
      <c r="G725" s="284" t="s">
        <v>79</v>
      </c>
      <c r="H725" s="285" t="s">
        <v>45</v>
      </c>
      <c r="I725" s="257" t="s">
        <v>1256</v>
      </c>
      <c r="J725" s="257" t="s">
        <v>1174</v>
      </c>
      <c r="K725" s="255" t="s">
        <v>1175</v>
      </c>
    </row>
    <row r="726" spans="1:17" ht="12.75" customHeight="1" x14ac:dyDescent="0.2">
      <c r="A726" s="249">
        <v>21185</v>
      </c>
      <c r="B726" s="250" t="s">
        <v>2502</v>
      </c>
      <c r="C726" s="251" t="s">
        <v>2495</v>
      </c>
      <c r="D726" s="251" t="s">
        <v>230</v>
      </c>
      <c r="E726" s="251"/>
      <c r="F726" s="252" t="s">
        <v>49</v>
      </c>
      <c r="G726" s="260" t="s">
        <v>50</v>
      </c>
      <c r="H726" s="254" t="s">
        <v>45</v>
      </c>
      <c r="I726" s="251" t="s">
        <v>1256</v>
      </c>
      <c r="J726" s="251" t="s">
        <v>1174</v>
      </c>
      <c r="K726" s="255" t="s">
        <v>1175</v>
      </c>
    </row>
    <row r="727" spans="1:17" ht="12.75" customHeight="1" x14ac:dyDescent="0.2">
      <c r="A727" s="249">
        <v>7551</v>
      </c>
      <c r="B727" s="250" t="s">
        <v>2503</v>
      </c>
      <c r="C727" s="251" t="s">
        <v>1278</v>
      </c>
      <c r="D727" s="251" t="s">
        <v>318</v>
      </c>
      <c r="E727" s="251"/>
      <c r="F727" s="252" t="s">
        <v>49</v>
      </c>
      <c r="G727" s="284" t="s">
        <v>50</v>
      </c>
      <c r="H727" s="285" t="s">
        <v>66</v>
      </c>
      <c r="I727" s="251" t="s">
        <v>1256</v>
      </c>
      <c r="J727" s="251" t="s">
        <v>1174</v>
      </c>
      <c r="K727" s="255" t="s">
        <v>1175</v>
      </c>
    </row>
    <row r="728" spans="1:17" ht="12.75" customHeight="1" x14ac:dyDescent="0.2">
      <c r="A728" s="249">
        <v>16096</v>
      </c>
      <c r="B728" s="250">
        <v>9109358</v>
      </c>
      <c r="C728" s="251" t="s">
        <v>1281</v>
      </c>
      <c r="D728" s="251" t="s">
        <v>582</v>
      </c>
      <c r="E728" s="251"/>
      <c r="F728" s="252" t="s">
        <v>43</v>
      </c>
      <c r="G728" s="284" t="s">
        <v>58</v>
      </c>
      <c r="H728" s="285" t="s">
        <v>45</v>
      </c>
      <c r="I728" s="251" t="s">
        <v>1282</v>
      </c>
      <c r="J728" s="251" t="s">
        <v>17</v>
      </c>
      <c r="K728" s="255" t="s">
        <v>13</v>
      </c>
    </row>
    <row r="729" spans="1:17" ht="12.75" customHeight="1" x14ac:dyDescent="0.2">
      <c r="A729" s="249">
        <v>16099</v>
      </c>
      <c r="B729" s="250" t="s">
        <v>1283</v>
      </c>
      <c r="C729" s="251" t="s">
        <v>1284</v>
      </c>
      <c r="D729" s="251" t="s">
        <v>80</v>
      </c>
      <c r="E729" s="251"/>
      <c r="F729" s="252" t="s">
        <v>43</v>
      </c>
      <c r="G729" s="284" t="s">
        <v>44</v>
      </c>
      <c r="H729" s="285" t="s">
        <v>180</v>
      </c>
      <c r="I729" s="251" t="s">
        <v>1282</v>
      </c>
      <c r="J729" s="251" t="s">
        <v>17</v>
      </c>
      <c r="K729" s="255" t="s">
        <v>13</v>
      </c>
    </row>
    <row r="730" spans="1:17" ht="12.75" customHeight="1" x14ac:dyDescent="0.2">
      <c r="A730" s="249">
        <v>16094</v>
      </c>
      <c r="B730" s="250">
        <v>9109449</v>
      </c>
      <c r="C730" s="251" t="s">
        <v>1285</v>
      </c>
      <c r="D730" s="251" t="s">
        <v>143</v>
      </c>
      <c r="E730" s="251"/>
      <c r="F730" s="252" t="s">
        <v>43</v>
      </c>
      <c r="G730" s="284" t="s">
        <v>58</v>
      </c>
      <c r="H730" s="285" t="s">
        <v>66</v>
      </c>
      <c r="I730" s="251" t="s">
        <v>1282</v>
      </c>
      <c r="J730" s="251" t="s">
        <v>17</v>
      </c>
      <c r="K730" s="255" t="s">
        <v>13</v>
      </c>
    </row>
    <row r="731" spans="1:17" ht="12.75" customHeight="1" x14ac:dyDescent="0.2">
      <c r="A731" s="249">
        <v>16095</v>
      </c>
      <c r="B731" s="250">
        <v>9109450</v>
      </c>
      <c r="C731" s="251" t="s">
        <v>1285</v>
      </c>
      <c r="D731" s="251" t="s">
        <v>120</v>
      </c>
      <c r="E731" s="251"/>
      <c r="F731" s="252" t="s">
        <v>43</v>
      </c>
      <c r="G731" s="284" t="s">
        <v>58</v>
      </c>
      <c r="H731" s="285" t="s">
        <v>45</v>
      </c>
      <c r="I731" s="251" t="s">
        <v>1282</v>
      </c>
      <c r="J731" s="251" t="s">
        <v>17</v>
      </c>
      <c r="K731" s="255" t="s">
        <v>13</v>
      </c>
    </row>
    <row r="732" spans="1:17" ht="12.75" customHeight="1" x14ac:dyDescent="0.2">
      <c r="A732" s="249">
        <v>16084</v>
      </c>
      <c r="B732" s="250" t="s">
        <v>1286</v>
      </c>
      <c r="C732" s="251" t="s">
        <v>1287</v>
      </c>
      <c r="D732" s="251" t="s">
        <v>765</v>
      </c>
      <c r="E732" s="251"/>
      <c r="F732" s="252" t="s">
        <v>43</v>
      </c>
      <c r="G732" s="284" t="s">
        <v>44</v>
      </c>
      <c r="H732" s="285"/>
      <c r="I732" s="251" t="s">
        <v>1282</v>
      </c>
      <c r="J732" s="251" t="s">
        <v>17</v>
      </c>
      <c r="K732" s="255" t="s">
        <v>13</v>
      </c>
    </row>
    <row r="733" spans="1:17" ht="12.75" customHeight="1" x14ac:dyDescent="0.2">
      <c r="A733" s="249">
        <v>16105</v>
      </c>
      <c r="B733" s="250" t="s">
        <v>2291</v>
      </c>
      <c r="C733" s="251" t="s">
        <v>1014</v>
      </c>
      <c r="D733" s="251" t="s">
        <v>284</v>
      </c>
      <c r="E733" s="251"/>
      <c r="F733" s="252" t="s">
        <v>43</v>
      </c>
      <c r="G733" s="284" t="s">
        <v>52</v>
      </c>
      <c r="H733" s="285" t="s">
        <v>66</v>
      </c>
      <c r="I733" s="251" t="s">
        <v>1282</v>
      </c>
      <c r="J733" s="251" t="s">
        <v>17</v>
      </c>
      <c r="K733" s="255" t="s">
        <v>13</v>
      </c>
    </row>
    <row r="734" spans="1:17" ht="12.75" customHeight="1" x14ac:dyDescent="0.2">
      <c r="A734" s="249">
        <v>25788</v>
      </c>
      <c r="B734" s="250">
        <v>9099245</v>
      </c>
      <c r="C734" s="257" t="s">
        <v>743</v>
      </c>
      <c r="D734" s="257" t="s">
        <v>64</v>
      </c>
      <c r="E734" s="257" t="s">
        <v>2374</v>
      </c>
      <c r="F734" s="252" t="s">
        <v>43</v>
      </c>
      <c r="G734" s="284" t="s">
        <v>44</v>
      </c>
      <c r="H734" s="285"/>
      <c r="I734" s="251" t="s">
        <v>1291</v>
      </c>
      <c r="J734" s="251" t="s">
        <v>1292</v>
      </c>
      <c r="K734" s="255" t="s">
        <v>1293</v>
      </c>
    </row>
    <row r="735" spans="1:17" ht="12.75" customHeight="1" x14ac:dyDescent="0.2">
      <c r="A735" s="249">
        <v>38066</v>
      </c>
      <c r="B735" s="250" t="s">
        <v>1288</v>
      </c>
      <c r="C735" s="251" t="s">
        <v>1289</v>
      </c>
      <c r="D735" s="251" t="s">
        <v>1290</v>
      </c>
      <c r="E735" s="251"/>
      <c r="F735" s="252" t="s">
        <v>43</v>
      </c>
      <c r="G735" s="253" t="s">
        <v>44</v>
      </c>
      <c r="H735" s="254">
        <v>0</v>
      </c>
      <c r="I735" s="251" t="s">
        <v>1291</v>
      </c>
      <c r="J735" s="251" t="s">
        <v>1292</v>
      </c>
      <c r="K735" s="255" t="s">
        <v>1293</v>
      </c>
    </row>
    <row r="736" spans="1:17" ht="12.75" customHeight="1" x14ac:dyDescent="0.2">
      <c r="A736" s="249">
        <v>16749</v>
      </c>
      <c r="B736" s="250" t="s">
        <v>1294</v>
      </c>
      <c r="C736" s="251" t="s">
        <v>1295</v>
      </c>
      <c r="D736" s="251" t="s">
        <v>238</v>
      </c>
      <c r="E736" s="251"/>
      <c r="F736" s="252" t="s">
        <v>43</v>
      </c>
      <c r="G736" s="284" t="s">
        <v>44</v>
      </c>
      <c r="H736" s="285" t="s">
        <v>66</v>
      </c>
      <c r="I736" s="251" t="s">
        <v>1291</v>
      </c>
      <c r="J736" s="251" t="s">
        <v>1292</v>
      </c>
      <c r="K736" s="255" t="s">
        <v>1293</v>
      </c>
      <c r="L736" s="281"/>
      <c r="M736" s="281"/>
      <c r="N736" s="281"/>
      <c r="Q736" s="283"/>
    </row>
    <row r="737" spans="1:17" ht="12.75" customHeight="1" x14ac:dyDescent="0.2">
      <c r="A737" s="249">
        <v>38193</v>
      </c>
      <c r="B737" s="250" t="s">
        <v>1296</v>
      </c>
      <c r="C737" s="251" t="s">
        <v>1297</v>
      </c>
      <c r="D737" s="251" t="s">
        <v>1298</v>
      </c>
      <c r="E737" s="251"/>
      <c r="F737" s="252" t="s">
        <v>43</v>
      </c>
      <c r="G737" s="284" t="s">
        <v>44</v>
      </c>
      <c r="H737" s="285"/>
      <c r="I737" s="251" t="s">
        <v>1291</v>
      </c>
      <c r="J737" s="251" t="s">
        <v>1292</v>
      </c>
      <c r="K737" s="255" t="s">
        <v>1293</v>
      </c>
      <c r="L737" s="281"/>
      <c r="M737" s="281"/>
      <c r="N737" s="281"/>
      <c r="Q737" s="283"/>
    </row>
    <row r="738" spans="1:17" ht="12.75" customHeight="1" x14ac:dyDescent="0.2">
      <c r="A738" s="249">
        <v>25649</v>
      </c>
      <c r="B738" s="250" t="s">
        <v>1922</v>
      </c>
      <c r="C738" s="251" t="s">
        <v>909</v>
      </c>
      <c r="D738" s="251" t="s">
        <v>373</v>
      </c>
      <c r="E738" s="251"/>
      <c r="F738" s="252" t="s">
        <v>43</v>
      </c>
      <c r="G738" s="284" t="s">
        <v>44</v>
      </c>
      <c r="H738" s="285" t="s">
        <v>180</v>
      </c>
      <c r="I738" s="251" t="s">
        <v>1291</v>
      </c>
      <c r="J738" s="251" t="s">
        <v>1292</v>
      </c>
      <c r="K738" s="255" t="s">
        <v>1293</v>
      </c>
    </row>
    <row r="739" spans="1:17" ht="12.75" customHeight="1" x14ac:dyDescent="0.2">
      <c r="A739" s="249">
        <v>38065</v>
      </c>
      <c r="B739" s="250" t="s">
        <v>1299</v>
      </c>
      <c r="C739" s="251" t="s">
        <v>1300</v>
      </c>
      <c r="D739" s="251" t="s">
        <v>57</v>
      </c>
      <c r="E739" s="251"/>
      <c r="F739" s="252" t="s">
        <v>43</v>
      </c>
      <c r="G739" s="284" t="s">
        <v>67</v>
      </c>
      <c r="H739" s="285" t="s">
        <v>45</v>
      </c>
      <c r="I739" s="251" t="s">
        <v>1291</v>
      </c>
      <c r="J739" s="251" t="s">
        <v>1292</v>
      </c>
      <c r="K739" s="255" t="s">
        <v>1293</v>
      </c>
    </row>
    <row r="740" spans="1:17" ht="12.75" customHeight="1" x14ac:dyDescent="0.2">
      <c r="A740" s="249">
        <v>7314</v>
      </c>
      <c r="B740" s="250">
        <v>747611</v>
      </c>
      <c r="C740" s="251" t="s">
        <v>1301</v>
      </c>
      <c r="D740" s="251" t="s">
        <v>238</v>
      </c>
      <c r="E740" s="251"/>
      <c r="F740" s="252" t="s">
        <v>43</v>
      </c>
      <c r="G740" s="284" t="s">
        <v>44</v>
      </c>
      <c r="H740" s="285" t="s">
        <v>239</v>
      </c>
      <c r="I740" s="251" t="s">
        <v>1291</v>
      </c>
      <c r="J740" s="251" t="s">
        <v>1292</v>
      </c>
      <c r="K740" s="255" t="s">
        <v>1293</v>
      </c>
    </row>
    <row r="741" spans="1:17" ht="12.75" customHeight="1" x14ac:dyDescent="0.2">
      <c r="A741" s="249">
        <v>7309</v>
      </c>
      <c r="B741" s="250" t="s">
        <v>1302</v>
      </c>
      <c r="C741" s="251" t="s">
        <v>1303</v>
      </c>
      <c r="D741" s="251" t="s">
        <v>943</v>
      </c>
      <c r="E741" s="251"/>
      <c r="F741" s="252" t="s">
        <v>43</v>
      </c>
      <c r="G741" s="284" t="s">
        <v>67</v>
      </c>
      <c r="H741" s="285" t="s">
        <v>66</v>
      </c>
      <c r="I741" s="251" t="s">
        <v>1291</v>
      </c>
      <c r="J741" s="251" t="s">
        <v>1292</v>
      </c>
      <c r="K741" s="255" t="s">
        <v>1293</v>
      </c>
    </row>
    <row r="742" spans="1:17" ht="12.75" customHeight="1" x14ac:dyDescent="0.2">
      <c r="A742" s="249">
        <v>38510</v>
      </c>
      <c r="B742" s="250" t="s">
        <v>1304</v>
      </c>
      <c r="C742" s="251" t="s">
        <v>1303</v>
      </c>
      <c r="D742" s="251" t="s">
        <v>1305</v>
      </c>
      <c r="E742" s="251"/>
      <c r="F742" s="252" t="s">
        <v>43</v>
      </c>
      <c r="G742" s="284" t="s">
        <v>94</v>
      </c>
      <c r="H742" s="285" t="s">
        <v>45</v>
      </c>
      <c r="I742" s="251" t="s">
        <v>1291</v>
      </c>
      <c r="J742" s="251" t="s">
        <v>1292</v>
      </c>
      <c r="K742" s="255" t="s">
        <v>1293</v>
      </c>
    </row>
    <row r="743" spans="1:17" ht="12.75" customHeight="1" x14ac:dyDescent="0.2">
      <c r="A743" s="249">
        <v>7322</v>
      </c>
      <c r="B743" s="250" t="s">
        <v>1306</v>
      </c>
      <c r="C743" s="251" t="s">
        <v>1303</v>
      </c>
      <c r="D743" s="251" t="s">
        <v>1307</v>
      </c>
      <c r="E743" s="251"/>
      <c r="F743" s="252" t="s">
        <v>49</v>
      </c>
      <c r="G743" s="284" t="s">
        <v>139</v>
      </c>
      <c r="H743" s="285" t="s">
        <v>45</v>
      </c>
      <c r="I743" s="251" t="s">
        <v>1291</v>
      </c>
      <c r="J743" s="251" t="s">
        <v>1292</v>
      </c>
      <c r="K743" s="255" t="s">
        <v>1293</v>
      </c>
    </row>
    <row r="744" spans="1:17" ht="12.75" customHeight="1" x14ac:dyDescent="0.2">
      <c r="A744" s="249">
        <v>38316</v>
      </c>
      <c r="B744" s="250" t="s">
        <v>1308</v>
      </c>
      <c r="C744" s="251" t="s">
        <v>1309</v>
      </c>
      <c r="D744" s="251" t="s">
        <v>875</v>
      </c>
      <c r="E744" s="251"/>
      <c r="F744" s="252" t="s">
        <v>49</v>
      </c>
      <c r="G744" s="258" t="s">
        <v>79</v>
      </c>
      <c r="H744" s="259">
        <v>0</v>
      </c>
      <c r="I744" s="251" t="s">
        <v>1291</v>
      </c>
      <c r="J744" s="251" t="s">
        <v>1292</v>
      </c>
      <c r="K744" s="255" t="s">
        <v>1293</v>
      </c>
    </row>
    <row r="745" spans="1:17" ht="12.75" customHeight="1" x14ac:dyDescent="0.2">
      <c r="A745" s="249">
        <v>25166</v>
      </c>
      <c r="B745" s="250" t="s">
        <v>1230</v>
      </c>
      <c r="C745" s="257" t="s">
        <v>1231</v>
      </c>
      <c r="D745" s="257" t="s">
        <v>1138</v>
      </c>
      <c r="E745" s="257" t="s">
        <v>2374</v>
      </c>
      <c r="F745" s="252" t="s">
        <v>43</v>
      </c>
      <c r="G745" s="284" t="s">
        <v>44</v>
      </c>
      <c r="H745" s="285" t="s">
        <v>180</v>
      </c>
      <c r="I745" s="257" t="s">
        <v>1291</v>
      </c>
      <c r="J745" s="257" t="s">
        <v>1292</v>
      </c>
      <c r="K745" s="255" t="s">
        <v>1293</v>
      </c>
    </row>
    <row r="746" spans="1:17" ht="12.75" customHeight="1" x14ac:dyDescent="0.2">
      <c r="A746" s="249">
        <v>7321</v>
      </c>
      <c r="B746" s="250" t="s">
        <v>1310</v>
      </c>
      <c r="C746" s="251" t="s">
        <v>1311</v>
      </c>
      <c r="D746" s="251" t="s">
        <v>213</v>
      </c>
      <c r="E746" s="251"/>
      <c r="F746" s="252" t="s">
        <v>43</v>
      </c>
      <c r="G746" s="284" t="s">
        <v>67</v>
      </c>
      <c r="H746" s="285" t="s">
        <v>45</v>
      </c>
      <c r="I746" s="251" t="s">
        <v>1291</v>
      </c>
      <c r="J746" s="251" t="s">
        <v>1292</v>
      </c>
      <c r="K746" s="255" t="s">
        <v>1293</v>
      </c>
    </row>
    <row r="747" spans="1:17" ht="12.75" customHeight="1" x14ac:dyDescent="0.2">
      <c r="A747" s="249">
        <v>25453</v>
      </c>
      <c r="B747" s="250" t="s">
        <v>2042</v>
      </c>
      <c r="C747" s="251" t="s">
        <v>1312</v>
      </c>
      <c r="D747" s="251" t="s">
        <v>213</v>
      </c>
      <c r="E747" s="251"/>
      <c r="F747" s="252" t="s">
        <v>43</v>
      </c>
      <c r="G747" s="284" t="s">
        <v>52</v>
      </c>
      <c r="H747" s="285"/>
      <c r="I747" s="251" t="s">
        <v>1291</v>
      </c>
      <c r="J747" s="251" t="s">
        <v>1292</v>
      </c>
      <c r="K747" s="255" t="s">
        <v>1293</v>
      </c>
    </row>
    <row r="748" spans="1:17" ht="12.75" customHeight="1" x14ac:dyDescent="0.2">
      <c r="A748" s="249">
        <v>25454</v>
      </c>
      <c r="B748" s="250">
        <v>9063267</v>
      </c>
      <c r="C748" s="251" t="s">
        <v>1313</v>
      </c>
      <c r="D748" s="251" t="s">
        <v>588</v>
      </c>
      <c r="E748" s="251"/>
      <c r="F748" s="252" t="s">
        <v>43</v>
      </c>
      <c r="G748" s="260" t="s">
        <v>44</v>
      </c>
      <c r="H748" s="261">
        <v>0</v>
      </c>
      <c r="I748" s="251" t="s">
        <v>1291</v>
      </c>
      <c r="J748" s="251" t="s">
        <v>1292</v>
      </c>
      <c r="K748" s="255" t="s">
        <v>1293</v>
      </c>
    </row>
    <row r="749" spans="1:17" ht="12.75" customHeight="1" x14ac:dyDescent="0.2">
      <c r="A749" s="249">
        <v>25915</v>
      </c>
      <c r="B749" s="250">
        <v>9111678</v>
      </c>
      <c r="C749" s="251" t="s">
        <v>1314</v>
      </c>
      <c r="D749" s="251" t="s">
        <v>184</v>
      </c>
      <c r="E749" s="251"/>
      <c r="F749" s="252" t="s">
        <v>43</v>
      </c>
      <c r="G749" s="284" t="s">
        <v>52</v>
      </c>
      <c r="H749" s="285"/>
      <c r="I749" s="251" t="s">
        <v>1291</v>
      </c>
      <c r="J749" s="251" t="s">
        <v>1292</v>
      </c>
      <c r="K749" s="255" t="s">
        <v>1293</v>
      </c>
    </row>
    <row r="750" spans="1:17" ht="12.75" customHeight="1" x14ac:dyDescent="0.2">
      <c r="A750" s="249">
        <v>7317</v>
      </c>
      <c r="B750" s="250" t="s">
        <v>1315</v>
      </c>
      <c r="C750" s="251" t="s">
        <v>1316</v>
      </c>
      <c r="D750" s="251" t="s">
        <v>179</v>
      </c>
      <c r="E750" s="251"/>
      <c r="F750" s="252" t="s">
        <v>43</v>
      </c>
      <c r="G750" s="284" t="s">
        <v>44</v>
      </c>
      <c r="H750" s="285" t="s">
        <v>180</v>
      </c>
      <c r="I750" s="251" t="s">
        <v>1291</v>
      </c>
      <c r="J750" s="251" t="s">
        <v>1292</v>
      </c>
      <c r="K750" s="255" t="s">
        <v>1293</v>
      </c>
    </row>
    <row r="751" spans="1:17" ht="12.75" customHeight="1" x14ac:dyDescent="0.2">
      <c r="A751" s="249">
        <v>38705</v>
      </c>
      <c r="B751" s="250" t="s">
        <v>1317</v>
      </c>
      <c r="C751" s="251" t="s">
        <v>1318</v>
      </c>
      <c r="D751" s="251" t="s">
        <v>643</v>
      </c>
      <c r="E751" s="251"/>
      <c r="F751" s="252" t="s">
        <v>43</v>
      </c>
      <c r="G751" s="253" t="s">
        <v>44</v>
      </c>
      <c r="H751" s="254">
        <v>0</v>
      </c>
      <c r="I751" s="251" t="s">
        <v>1291</v>
      </c>
      <c r="J751" s="251" t="s">
        <v>1292</v>
      </c>
      <c r="K751" s="255" t="s">
        <v>1293</v>
      </c>
    </row>
    <row r="752" spans="1:17" ht="12.75" customHeight="1" x14ac:dyDescent="0.2">
      <c r="A752" s="249">
        <v>38704</v>
      </c>
      <c r="B752" s="250" t="s">
        <v>1319</v>
      </c>
      <c r="C752" s="251" t="s">
        <v>1320</v>
      </c>
      <c r="D752" s="251" t="s">
        <v>499</v>
      </c>
      <c r="E752" s="251"/>
      <c r="F752" s="252" t="s">
        <v>43</v>
      </c>
      <c r="G752" s="253" t="s">
        <v>44</v>
      </c>
      <c r="H752" s="254">
        <v>0</v>
      </c>
      <c r="I752" s="251" t="s">
        <v>1291</v>
      </c>
      <c r="J752" s="251" t="s">
        <v>1292</v>
      </c>
      <c r="K752" s="255" t="s">
        <v>1293</v>
      </c>
    </row>
    <row r="753" spans="1:17" ht="12.75" customHeight="1" x14ac:dyDescent="0.2">
      <c r="A753" s="249">
        <v>38058</v>
      </c>
      <c r="B753" s="250" t="s">
        <v>1321</v>
      </c>
      <c r="C753" s="251" t="s">
        <v>1322</v>
      </c>
      <c r="D753" s="251" t="s">
        <v>1130</v>
      </c>
      <c r="E753" s="251"/>
      <c r="F753" s="252" t="s">
        <v>43</v>
      </c>
      <c r="G753" s="253" t="s">
        <v>58</v>
      </c>
      <c r="H753" s="254">
        <v>0</v>
      </c>
      <c r="I753" s="251" t="s">
        <v>1291</v>
      </c>
      <c r="J753" s="251" t="s">
        <v>1292</v>
      </c>
      <c r="K753" s="255" t="s">
        <v>1293</v>
      </c>
    </row>
    <row r="754" spans="1:17" ht="12.75" customHeight="1" x14ac:dyDescent="0.2">
      <c r="A754" s="249">
        <v>25452</v>
      </c>
      <c r="B754" s="250" t="s">
        <v>2043</v>
      </c>
      <c r="C754" s="251" t="s">
        <v>1323</v>
      </c>
      <c r="D754" s="251" t="s">
        <v>331</v>
      </c>
      <c r="E754" s="251"/>
      <c r="F754" s="252" t="s">
        <v>43</v>
      </c>
      <c r="G754" s="284" t="s">
        <v>67</v>
      </c>
      <c r="H754" s="285"/>
      <c r="I754" s="251" t="s">
        <v>1291</v>
      </c>
      <c r="J754" s="251" t="s">
        <v>1292</v>
      </c>
      <c r="K754" s="255" t="s">
        <v>1293</v>
      </c>
    </row>
    <row r="755" spans="1:17" ht="12.75" customHeight="1" x14ac:dyDescent="0.2">
      <c r="A755" s="249">
        <v>38537</v>
      </c>
      <c r="B755" s="250" t="s">
        <v>1324</v>
      </c>
      <c r="C755" s="251" t="s">
        <v>1325</v>
      </c>
      <c r="D755" s="251" t="s">
        <v>830</v>
      </c>
      <c r="E755" s="251"/>
      <c r="F755" s="252" t="s">
        <v>43</v>
      </c>
      <c r="G755" s="253" t="s">
        <v>67</v>
      </c>
      <c r="H755" s="254">
        <v>0</v>
      </c>
      <c r="I755" s="251" t="s">
        <v>1291</v>
      </c>
      <c r="J755" s="251" t="s">
        <v>1292</v>
      </c>
      <c r="K755" s="255" t="s">
        <v>1293</v>
      </c>
    </row>
    <row r="756" spans="1:17" ht="12.75" customHeight="1" x14ac:dyDescent="0.2">
      <c r="A756" s="249">
        <v>38555</v>
      </c>
      <c r="B756" s="250" t="s">
        <v>1329</v>
      </c>
      <c r="C756" s="253" t="s">
        <v>2100</v>
      </c>
      <c r="D756" s="253" t="s">
        <v>1096</v>
      </c>
      <c r="E756" s="253"/>
      <c r="F756" s="254" t="s">
        <v>49</v>
      </c>
      <c r="G756" s="284" t="s">
        <v>79</v>
      </c>
      <c r="H756" s="285" t="s">
        <v>45</v>
      </c>
      <c r="I756" s="257" t="s">
        <v>1326</v>
      </c>
      <c r="J756" s="257" t="s">
        <v>1327</v>
      </c>
      <c r="K756" s="255" t="s">
        <v>1328</v>
      </c>
      <c r="L756" s="281"/>
      <c r="M756" s="281"/>
      <c r="N756" s="281"/>
      <c r="Q756" s="283"/>
    </row>
    <row r="757" spans="1:17" ht="12.75" customHeight="1" x14ac:dyDescent="0.2">
      <c r="A757" s="249">
        <v>38388</v>
      </c>
      <c r="B757" s="250" t="s">
        <v>1535</v>
      </c>
      <c r="C757" s="251" t="s">
        <v>1536</v>
      </c>
      <c r="D757" s="251" t="s">
        <v>97</v>
      </c>
      <c r="E757" s="251"/>
      <c r="F757" s="252" t="s">
        <v>43</v>
      </c>
      <c r="G757" s="284" t="s">
        <v>52</v>
      </c>
      <c r="H757" s="285" t="s">
        <v>51</v>
      </c>
      <c r="I757" s="253" t="s">
        <v>1326</v>
      </c>
      <c r="J757" s="253" t="s">
        <v>1327</v>
      </c>
      <c r="K757" s="255" t="s">
        <v>1328</v>
      </c>
    </row>
    <row r="758" spans="1:17" ht="12.75" customHeight="1" x14ac:dyDescent="0.2">
      <c r="A758" s="249">
        <v>16582</v>
      </c>
      <c r="B758" s="250" t="s">
        <v>1923</v>
      </c>
      <c r="C758" s="257" t="s">
        <v>1924</v>
      </c>
      <c r="D758" s="257" t="s">
        <v>1925</v>
      </c>
      <c r="E758" s="257" t="s">
        <v>2374</v>
      </c>
      <c r="F758" s="252" t="s">
        <v>43</v>
      </c>
      <c r="G758" s="284" t="s">
        <v>44</v>
      </c>
      <c r="H758" s="285" t="s">
        <v>45</v>
      </c>
      <c r="I758" s="257" t="s">
        <v>1326</v>
      </c>
      <c r="J758" s="257" t="s">
        <v>1327</v>
      </c>
      <c r="K758" s="255" t="s">
        <v>1328</v>
      </c>
    </row>
    <row r="759" spans="1:17" ht="12.75" customHeight="1" x14ac:dyDescent="0.2">
      <c r="A759" s="249">
        <v>16876</v>
      </c>
      <c r="B759" s="250" t="s">
        <v>1333</v>
      </c>
      <c r="C759" s="253" t="s">
        <v>1334</v>
      </c>
      <c r="D759" s="253" t="s">
        <v>477</v>
      </c>
      <c r="E759" s="253"/>
      <c r="F759" s="254" t="s">
        <v>43</v>
      </c>
      <c r="G759" s="284" t="s">
        <v>44</v>
      </c>
      <c r="H759" s="285" t="s">
        <v>45</v>
      </c>
      <c r="I759" s="257" t="s">
        <v>1326</v>
      </c>
      <c r="J759" s="257" t="s">
        <v>1327</v>
      </c>
      <c r="K759" s="255" t="s">
        <v>1328</v>
      </c>
    </row>
    <row r="760" spans="1:17" ht="12.75" customHeight="1" x14ac:dyDescent="0.2">
      <c r="A760" s="249">
        <v>38289</v>
      </c>
      <c r="B760" s="250" t="s">
        <v>1335</v>
      </c>
      <c r="C760" s="253" t="s">
        <v>1334</v>
      </c>
      <c r="D760" s="253" t="s">
        <v>411</v>
      </c>
      <c r="E760" s="253"/>
      <c r="F760" s="254" t="s">
        <v>49</v>
      </c>
      <c r="G760" s="284" t="s">
        <v>79</v>
      </c>
      <c r="H760" s="285" t="s">
        <v>66</v>
      </c>
      <c r="I760" s="257" t="s">
        <v>1326</v>
      </c>
      <c r="J760" s="257" t="s">
        <v>1327</v>
      </c>
      <c r="K760" s="255" t="s">
        <v>1328</v>
      </c>
    </row>
    <row r="761" spans="1:17" ht="12.75" customHeight="1" x14ac:dyDescent="0.2">
      <c r="A761" s="249">
        <v>38605</v>
      </c>
      <c r="B761" s="250" t="s">
        <v>1336</v>
      </c>
      <c r="C761" s="253" t="s">
        <v>1337</v>
      </c>
      <c r="D761" s="253" t="s">
        <v>305</v>
      </c>
      <c r="E761" s="253"/>
      <c r="F761" s="254" t="s">
        <v>43</v>
      </c>
      <c r="G761" s="284" t="s">
        <v>44</v>
      </c>
      <c r="H761" s="285" t="s">
        <v>51</v>
      </c>
      <c r="I761" s="257" t="s">
        <v>1326</v>
      </c>
      <c r="J761" s="257" t="s">
        <v>1327</v>
      </c>
      <c r="K761" s="255" t="s">
        <v>1328</v>
      </c>
    </row>
    <row r="762" spans="1:17" ht="12.75" customHeight="1" x14ac:dyDescent="0.2">
      <c r="A762" s="249">
        <v>16583</v>
      </c>
      <c r="B762" s="250" t="s">
        <v>1339</v>
      </c>
      <c r="C762" s="253" t="s">
        <v>1338</v>
      </c>
      <c r="D762" s="253" t="s">
        <v>169</v>
      </c>
      <c r="E762" s="253"/>
      <c r="F762" s="254" t="s">
        <v>43</v>
      </c>
      <c r="G762" s="284" t="s">
        <v>44</v>
      </c>
      <c r="H762" s="285" t="s">
        <v>45</v>
      </c>
      <c r="I762" s="251" t="s">
        <v>1326</v>
      </c>
      <c r="J762" s="251" t="s">
        <v>1327</v>
      </c>
      <c r="K762" s="255" t="s">
        <v>1328</v>
      </c>
      <c r="L762" s="281"/>
      <c r="M762" s="281"/>
      <c r="N762" s="281"/>
      <c r="Q762" s="283"/>
    </row>
    <row r="763" spans="1:17" ht="12.75" customHeight="1" x14ac:dyDescent="0.2">
      <c r="A763" s="249">
        <v>38618</v>
      </c>
      <c r="B763" s="250" t="s">
        <v>2292</v>
      </c>
      <c r="C763" s="257" t="s">
        <v>1338</v>
      </c>
      <c r="D763" s="257" t="s">
        <v>2293</v>
      </c>
      <c r="E763" s="257" t="s">
        <v>2374</v>
      </c>
      <c r="F763" s="252" t="s">
        <v>49</v>
      </c>
      <c r="G763" s="284" t="s">
        <v>773</v>
      </c>
      <c r="H763" s="285" t="s">
        <v>104</v>
      </c>
      <c r="I763" s="257" t="s">
        <v>1326</v>
      </c>
      <c r="J763" s="257" t="s">
        <v>1327</v>
      </c>
      <c r="K763" s="255" t="s">
        <v>1328</v>
      </c>
      <c r="L763" s="281"/>
      <c r="M763" s="281"/>
      <c r="N763" s="281"/>
      <c r="Q763" s="283"/>
    </row>
    <row r="764" spans="1:17" ht="12.75" customHeight="1" x14ac:dyDescent="0.2">
      <c r="A764" s="249">
        <v>16137</v>
      </c>
      <c r="B764" s="250" t="s">
        <v>1340</v>
      </c>
      <c r="C764" s="251" t="s">
        <v>766</v>
      </c>
      <c r="D764" s="251" t="s">
        <v>362</v>
      </c>
      <c r="E764" s="251"/>
      <c r="F764" s="252" t="s">
        <v>43</v>
      </c>
      <c r="G764" s="284" t="s">
        <v>52</v>
      </c>
      <c r="H764" s="285"/>
      <c r="I764" s="251" t="s">
        <v>1326</v>
      </c>
      <c r="J764" s="251" t="s">
        <v>1327</v>
      </c>
      <c r="K764" s="255" t="s">
        <v>1328</v>
      </c>
    </row>
    <row r="765" spans="1:17" ht="12.75" customHeight="1" x14ac:dyDescent="0.2">
      <c r="A765" s="249">
        <v>38663</v>
      </c>
      <c r="B765" s="250" t="s">
        <v>1341</v>
      </c>
      <c r="C765" s="257" t="s">
        <v>1342</v>
      </c>
      <c r="D765" s="257" t="s">
        <v>1343</v>
      </c>
      <c r="E765" s="257" t="s">
        <v>2374</v>
      </c>
      <c r="F765" s="252" t="s">
        <v>49</v>
      </c>
      <c r="G765" s="284" t="s">
        <v>1120</v>
      </c>
      <c r="H765" s="285" t="s">
        <v>51</v>
      </c>
      <c r="I765" s="257" t="s">
        <v>1326</v>
      </c>
      <c r="J765" s="257" t="s">
        <v>1327</v>
      </c>
      <c r="K765" s="255" t="s">
        <v>1328</v>
      </c>
    </row>
    <row r="766" spans="1:17" ht="12.75" customHeight="1" x14ac:dyDescent="0.2">
      <c r="A766" s="249">
        <v>38887</v>
      </c>
      <c r="B766" s="250" t="s">
        <v>2356</v>
      </c>
      <c r="C766" s="257" t="s">
        <v>2357</v>
      </c>
      <c r="D766" s="257" t="s">
        <v>179</v>
      </c>
      <c r="E766" s="257" t="s">
        <v>2374</v>
      </c>
      <c r="F766" s="252" t="s">
        <v>43</v>
      </c>
      <c r="G766" s="284" t="s">
        <v>67</v>
      </c>
      <c r="H766" s="285" t="s">
        <v>51</v>
      </c>
      <c r="I766" s="257" t="s">
        <v>1326</v>
      </c>
      <c r="J766" s="257" t="s">
        <v>1327</v>
      </c>
      <c r="K766" s="255" t="s">
        <v>1328</v>
      </c>
    </row>
    <row r="767" spans="1:17" ht="12.75" customHeight="1" x14ac:dyDescent="0.2">
      <c r="A767" s="249">
        <v>7484</v>
      </c>
      <c r="B767" s="250" t="s">
        <v>1346</v>
      </c>
      <c r="C767" s="251" t="s">
        <v>648</v>
      </c>
      <c r="D767" s="251" t="s">
        <v>179</v>
      </c>
      <c r="E767" s="251"/>
      <c r="F767" s="252" t="s">
        <v>43</v>
      </c>
      <c r="G767" s="284" t="s">
        <v>52</v>
      </c>
      <c r="H767" s="285" t="s">
        <v>51</v>
      </c>
      <c r="I767" s="251" t="s">
        <v>1326</v>
      </c>
      <c r="J767" s="251" t="s">
        <v>1327</v>
      </c>
      <c r="K767" s="255" t="s">
        <v>1328</v>
      </c>
    </row>
    <row r="768" spans="1:17" ht="12.75" customHeight="1" x14ac:dyDescent="0.2">
      <c r="A768" s="249">
        <v>38903</v>
      </c>
      <c r="B768" s="250" t="s">
        <v>2504</v>
      </c>
      <c r="C768" s="257" t="s">
        <v>2505</v>
      </c>
      <c r="D768" s="257" t="s">
        <v>534</v>
      </c>
      <c r="E768" s="257" t="s">
        <v>2374</v>
      </c>
      <c r="F768" s="252" t="s">
        <v>49</v>
      </c>
      <c r="G768" s="258" t="s">
        <v>340</v>
      </c>
      <c r="H768" s="259">
        <v>0</v>
      </c>
      <c r="I768" s="257" t="s">
        <v>1326</v>
      </c>
      <c r="J768" s="257" t="s">
        <v>1327</v>
      </c>
      <c r="K768" s="255" t="s">
        <v>1328</v>
      </c>
    </row>
    <row r="769" spans="1:17" ht="12.75" customHeight="1" x14ac:dyDescent="0.2">
      <c r="A769" s="249">
        <v>25833</v>
      </c>
      <c r="B769" s="250" t="s">
        <v>2506</v>
      </c>
      <c r="C769" s="251" t="s">
        <v>2505</v>
      </c>
      <c r="D769" s="251" t="s">
        <v>529</v>
      </c>
      <c r="E769" s="251"/>
      <c r="F769" s="252" t="s">
        <v>43</v>
      </c>
      <c r="G769" s="284" t="s">
        <v>67</v>
      </c>
      <c r="H769" s="285" t="s">
        <v>45</v>
      </c>
      <c r="I769" s="251" t="s">
        <v>1326</v>
      </c>
      <c r="J769" s="251" t="s">
        <v>1327</v>
      </c>
      <c r="K769" s="255" t="s">
        <v>1328</v>
      </c>
    </row>
    <row r="770" spans="1:17" ht="12.75" customHeight="1" x14ac:dyDescent="0.2">
      <c r="A770" s="249">
        <v>25466</v>
      </c>
      <c r="B770" s="250" t="s">
        <v>2507</v>
      </c>
      <c r="C770" s="257" t="s">
        <v>2505</v>
      </c>
      <c r="D770" s="257" t="s">
        <v>907</v>
      </c>
      <c r="E770" s="257" t="s">
        <v>2374</v>
      </c>
      <c r="F770" s="252" t="s">
        <v>49</v>
      </c>
      <c r="G770" s="258" t="s">
        <v>139</v>
      </c>
      <c r="H770" s="259">
        <v>0</v>
      </c>
      <c r="I770" s="251" t="s">
        <v>1326</v>
      </c>
      <c r="J770" s="251" t="s">
        <v>1327</v>
      </c>
      <c r="K770" s="255" t="s">
        <v>1328</v>
      </c>
      <c r="L770" s="281"/>
      <c r="M770" s="281"/>
      <c r="N770" s="281"/>
      <c r="Q770" s="283"/>
    </row>
    <row r="771" spans="1:17" ht="12.75" customHeight="1" x14ac:dyDescent="0.2">
      <c r="A771" s="249">
        <v>16141</v>
      </c>
      <c r="B771" s="250" t="s">
        <v>1347</v>
      </c>
      <c r="C771" s="251" t="s">
        <v>1348</v>
      </c>
      <c r="D771" s="251" t="s">
        <v>1349</v>
      </c>
      <c r="E771" s="251"/>
      <c r="F771" s="252" t="s">
        <v>49</v>
      </c>
      <c r="G771" s="284" t="s">
        <v>79</v>
      </c>
      <c r="H771" s="285" t="s">
        <v>66</v>
      </c>
      <c r="I771" s="251" t="s">
        <v>1326</v>
      </c>
      <c r="J771" s="251" t="s">
        <v>1327</v>
      </c>
      <c r="K771" s="255" t="s">
        <v>1328</v>
      </c>
    </row>
    <row r="772" spans="1:17" ht="12.75" customHeight="1" x14ac:dyDescent="0.2">
      <c r="A772" s="249">
        <v>38641</v>
      </c>
      <c r="B772" s="250" t="s">
        <v>1350</v>
      </c>
      <c r="C772" s="257" t="s">
        <v>1351</v>
      </c>
      <c r="D772" s="257" t="s">
        <v>253</v>
      </c>
      <c r="E772" s="257" t="s">
        <v>2374</v>
      </c>
      <c r="F772" s="252" t="s">
        <v>43</v>
      </c>
      <c r="G772" s="284" t="s">
        <v>67</v>
      </c>
      <c r="H772" s="285" t="s">
        <v>45</v>
      </c>
      <c r="I772" s="257" t="s">
        <v>1326</v>
      </c>
      <c r="J772" s="257" t="s">
        <v>1327</v>
      </c>
      <c r="K772" s="255" t="s">
        <v>1328</v>
      </c>
    </row>
    <row r="773" spans="1:17" ht="12.75" customHeight="1" x14ac:dyDescent="0.2">
      <c r="A773" s="249">
        <v>16992</v>
      </c>
      <c r="B773" s="250">
        <v>9029310</v>
      </c>
      <c r="C773" s="253" t="s">
        <v>1351</v>
      </c>
      <c r="D773" s="253" t="s">
        <v>1269</v>
      </c>
      <c r="E773" s="253"/>
      <c r="F773" s="254" t="s">
        <v>49</v>
      </c>
      <c r="G773" s="284" t="s">
        <v>139</v>
      </c>
      <c r="H773" s="285" t="s">
        <v>51</v>
      </c>
      <c r="I773" s="257" t="s">
        <v>1326</v>
      </c>
      <c r="J773" s="257" t="s">
        <v>1327</v>
      </c>
      <c r="K773" s="255" t="s">
        <v>1328</v>
      </c>
    </row>
    <row r="774" spans="1:17" ht="12.75" customHeight="1" x14ac:dyDescent="0.2">
      <c r="A774" s="249">
        <v>38662</v>
      </c>
      <c r="B774" s="250" t="s">
        <v>1352</v>
      </c>
      <c r="C774" s="253" t="s">
        <v>1353</v>
      </c>
      <c r="D774" s="253" t="s">
        <v>1354</v>
      </c>
      <c r="E774" s="253"/>
      <c r="F774" s="254" t="s">
        <v>49</v>
      </c>
      <c r="G774" s="284" t="s">
        <v>50</v>
      </c>
      <c r="H774" s="285"/>
      <c r="I774" s="257" t="s">
        <v>1326</v>
      </c>
      <c r="J774" s="257" t="s">
        <v>1327</v>
      </c>
      <c r="K774" s="255" t="s">
        <v>1328</v>
      </c>
    </row>
    <row r="775" spans="1:17" ht="12.75" customHeight="1" x14ac:dyDescent="0.2">
      <c r="A775" s="249">
        <v>7641</v>
      </c>
      <c r="B775" s="250" t="s">
        <v>1355</v>
      </c>
      <c r="C775" s="251" t="s">
        <v>1356</v>
      </c>
      <c r="D775" s="251" t="s">
        <v>143</v>
      </c>
      <c r="E775" s="251"/>
      <c r="F775" s="252" t="s">
        <v>43</v>
      </c>
      <c r="G775" s="284" t="s">
        <v>67</v>
      </c>
      <c r="H775" s="285" t="s">
        <v>66</v>
      </c>
      <c r="I775" s="251" t="s">
        <v>1357</v>
      </c>
      <c r="J775" s="251" t="s">
        <v>1358</v>
      </c>
      <c r="K775" s="255" t="s">
        <v>27</v>
      </c>
    </row>
    <row r="776" spans="1:17" ht="12.75" customHeight="1" x14ac:dyDescent="0.2">
      <c r="A776" s="249">
        <v>10526</v>
      </c>
      <c r="B776" s="250" t="s">
        <v>1359</v>
      </c>
      <c r="C776" s="257" t="s">
        <v>153</v>
      </c>
      <c r="D776" s="257" t="s">
        <v>87</v>
      </c>
      <c r="E776" s="257" t="s">
        <v>2374</v>
      </c>
      <c r="F776" s="252" t="s">
        <v>43</v>
      </c>
      <c r="G776" s="284" t="s">
        <v>44</v>
      </c>
      <c r="H776" s="285" t="s">
        <v>51</v>
      </c>
      <c r="I776" s="257" t="s">
        <v>1357</v>
      </c>
      <c r="J776" s="257" t="s">
        <v>1358</v>
      </c>
      <c r="K776" s="255" t="s">
        <v>27</v>
      </c>
    </row>
    <row r="777" spans="1:17" ht="12.75" customHeight="1" x14ac:dyDescent="0.2">
      <c r="A777" s="249">
        <v>25886</v>
      </c>
      <c r="B777" s="250" t="s">
        <v>1360</v>
      </c>
      <c r="C777" s="257" t="s">
        <v>1361</v>
      </c>
      <c r="D777" s="257" t="s">
        <v>1271</v>
      </c>
      <c r="E777" s="257" t="s">
        <v>2374</v>
      </c>
      <c r="F777" s="252" t="s">
        <v>49</v>
      </c>
      <c r="G777" s="284" t="s">
        <v>139</v>
      </c>
      <c r="H777" s="285" t="s">
        <v>51</v>
      </c>
      <c r="I777" s="257" t="s">
        <v>1357</v>
      </c>
      <c r="J777" s="257" t="s">
        <v>1358</v>
      </c>
      <c r="K777" s="255" t="s">
        <v>27</v>
      </c>
    </row>
    <row r="778" spans="1:17" ht="12.75" customHeight="1" x14ac:dyDescent="0.2">
      <c r="A778" s="249">
        <v>38837</v>
      </c>
      <c r="B778" s="250" t="s">
        <v>2218</v>
      </c>
      <c r="C778" s="257" t="s">
        <v>2219</v>
      </c>
      <c r="D778" s="257" t="s">
        <v>2220</v>
      </c>
      <c r="E778" s="257" t="s">
        <v>2374</v>
      </c>
      <c r="F778" s="252" t="s">
        <v>49</v>
      </c>
      <c r="G778" s="284" t="s">
        <v>50</v>
      </c>
      <c r="H778" s="285" t="s">
        <v>104</v>
      </c>
      <c r="I778" s="257" t="s">
        <v>1357</v>
      </c>
      <c r="J778" s="257" t="s">
        <v>1358</v>
      </c>
      <c r="K778" s="255" t="s">
        <v>27</v>
      </c>
    </row>
    <row r="779" spans="1:17" ht="12.75" customHeight="1" x14ac:dyDescent="0.2">
      <c r="A779" s="249">
        <v>25786</v>
      </c>
      <c r="B779" s="250" t="s">
        <v>2221</v>
      </c>
      <c r="C779" s="251" t="s">
        <v>2222</v>
      </c>
      <c r="D779" s="251" t="s">
        <v>381</v>
      </c>
      <c r="E779" s="251"/>
      <c r="F779" s="252" t="s">
        <v>43</v>
      </c>
      <c r="G779" s="284" t="s">
        <v>44</v>
      </c>
      <c r="H779" s="285" t="s">
        <v>45</v>
      </c>
      <c r="I779" s="251" t="s">
        <v>1357</v>
      </c>
      <c r="J779" s="251" t="s">
        <v>1358</v>
      </c>
      <c r="K779" s="255" t="s">
        <v>27</v>
      </c>
    </row>
    <row r="780" spans="1:17" ht="12.75" customHeight="1" x14ac:dyDescent="0.2">
      <c r="A780" s="249">
        <v>10797</v>
      </c>
      <c r="B780" s="250" t="s">
        <v>1914</v>
      </c>
      <c r="C780" s="251" t="s">
        <v>1915</v>
      </c>
      <c r="D780" s="251" t="s">
        <v>477</v>
      </c>
      <c r="E780" s="251"/>
      <c r="F780" s="252" t="s">
        <v>43</v>
      </c>
      <c r="G780" s="284" t="s">
        <v>67</v>
      </c>
      <c r="H780" s="285" t="s">
        <v>45</v>
      </c>
      <c r="I780" s="251" t="s">
        <v>1357</v>
      </c>
      <c r="J780" s="251" t="s">
        <v>1358</v>
      </c>
      <c r="K780" s="255" t="s">
        <v>27</v>
      </c>
    </row>
    <row r="781" spans="1:17" ht="12.75" customHeight="1" x14ac:dyDescent="0.2">
      <c r="A781" s="249">
        <v>38393</v>
      </c>
      <c r="B781" s="250" t="s">
        <v>1362</v>
      </c>
      <c r="C781" s="257" t="s">
        <v>1363</v>
      </c>
      <c r="D781" s="257" t="s">
        <v>167</v>
      </c>
      <c r="E781" s="257" t="s">
        <v>2374</v>
      </c>
      <c r="F781" s="252" t="s">
        <v>49</v>
      </c>
      <c r="G781" s="284" t="s">
        <v>50</v>
      </c>
      <c r="H781" s="285" t="s">
        <v>45</v>
      </c>
      <c r="I781" s="257" t="s">
        <v>1357</v>
      </c>
      <c r="J781" s="257" t="s">
        <v>1358</v>
      </c>
      <c r="K781" s="255" t="s">
        <v>27</v>
      </c>
    </row>
    <row r="782" spans="1:17" ht="12.75" customHeight="1" x14ac:dyDescent="0.2">
      <c r="A782" s="249">
        <v>16760</v>
      </c>
      <c r="B782" s="250" t="s">
        <v>113</v>
      </c>
      <c r="C782" s="251" t="s">
        <v>114</v>
      </c>
      <c r="D782" s="251" t="s">
        <v>87</v>
      </c>
      <c r="E782" s="251"/>
      <c r="F782" s="252" t="s">
        <v>43</v>
      </c>
      <c r="G782" s="284" t="s">
        <v>67</v>
      </c>
      <c r="H782" s="285" t="s">
        <v>180</v>
      </c>
      <c r="I782" s="251" t="s">
        <v>1357</v>
      </c>
      <c r="J782" s="251" t="s">
        <v>1358</v>
      </c>
      <c r="K782" s="255" t="s">
        <v>27</v>
      </c>
    </row>
    <row r="783" spans="1:17" ht="12.75" customHeight="1" x14ac:dyDescent="0.2">
      <c r="A783" s="249">
        <v>25884</v>
      </c>
      <c r="B783" s="250">
        <v>9111431</v>
      </c>
      <c r="C783" s="257" t="s">
        <v>1364</v>
      </c>
      <c r="D783" s="257" t="s">
        <v>206</v>
      </c>
      <c r="E783" s="257" t="s">
        <v>2374</v>
      </c>
      <c r="F783" s="252" t="s">
        <v>43</v>
      </c>
      <c r="G783" s="284" t="s">
        <v>52</v>
      </c>
      <c r="H783" s="285" t="s">
        <v>45</v>
      </c>
      <c r="I783" s="257" t="s">
        <v>1357</v>
      </c>
      <c r="J783" s="257" t="s">
        <v>1358</v>
      </c>
      <c r="K783" s="255" t="s">
        <v>27</v>
      </c>
    </row>
    <row r="784" spans="1:17" ht="12.75" customHeight="1" x14ac:dyDescent="0.2">
      <c r="A784" s="249">
        <v>25885</v>
      </c>
      <c r="B784" s="250">
        <v>9111424</v>
      </c>
      <c r="C784" s="257" t="s">
        <v>1364</v>
      </c>
      <c r="D784" s="257" t="s">
        <v>1275</v>
      </c>
      <c r="E784" s="257" t="s">
        <v>2374</v>
      </c>
      <c r="F784" s="252" t="s">
        <v>49</v>
      </c>
      <c r="G784" s="284" t="s">
        <v>50</v>
      </c>
      <c r="H784" s="285" t="s">
        <v>51</v>
      </c>
      <c r="I784" s="257" t="s">
        <v>1357</v>
      </c>
      <c r="J784" s="257" t="s">
        <v>1358</v>
      </c>
      <c r="K784" s="255" t="s">
        <v>27</v>
      </c>
    </row>
    <row r="785" spans="1:17" ht="12.75" customHeight="1" x14ac:dyDescent="0.2">
      <c r="A785" s="249">
        <v>10185</v>
      </c>
      <c r="B785" s="250" t="s">
        <v>1365</v>
      </c>
      <c r="C785" s="257" t="s">
        <v>1366</v>
      </c>
      <c r="D785" s="257" t="s">
        <v>263</v>
      </c>
      <c r="E785" s="257" t="s">
        <v>2374</v>
      </c>
      <c r="F785" s="252" t="s">
        <v>43</v>
      </c>
      <c r="G785" s="284" t="s">
        <v>52</v>
      </c>
      <c r="H785" s="285" t="s">
        <v>45</v>
      </c>
      <c r="I785" s="257" t="s">
        <v>1357</v>
      </c>
      <c r="J785" s="257" t="s">
        <v>1358</v>
      </c>
      <c r="K785" s="255" t="s">
        <v>27</v>
      </c>
      <c r="L785" s="281"/>
      <c r="M785" s="281"/>
      <c r="N785" s="281"/>
      <c r="Q785" s="283"/>
    </row>
    <row r="786" spans="1:17" ht="12.75" customHeight="1" x14ac:dyDescent="0.2">
      <c r="A786" s="249">
        <v>25992</v>
      </c>
      <c r="B786" s="250" t="s">
        <v>1367</v>
      </c>
      <c r="C786" s="257" t="s">
        <v>1368</v>
      </c>
      <c r="D786" s="257" t="s">
        <v>1369</v>
      </c>
      <c r="E786" s="257" t="s">
        <v>2374</v>
      </c>
      <c r="F786" s="252" t="s">
        <v>49</v>
      </c>
      <c r="G786" s="284" t="s">
        <v>50</v>
      </c>
      <c r="H786" s="285" t="s">
        <v>45</v>
      </c>
      <c r="I786" s="257" t="s">
        <v>1357</v>
      </c>
      <c r="J786" s="257" t="s">
        <v>1358</v>
      </c>
      <c r="K786" s="255" t="s">
        <v>27</v>
      </c>
    </row>
    <row r="787" spans="1:17" ht="12.75" customHeight="1" x14ac:dyDescent="0.2">
      <c r="A787" s="249">
        <v>25993</v>
      </c>
      <c r="B787" s="250" t="s">
        <v>1370</v>
      </c>
      <c r="C787" s="257" t="s">
        <v>1368</v>
      </c>
      <c r="D787" s="257" t="s">
        <v>117</v>
      </c>
      <c r="E787" s="257" t="s">
        <v>2374</v>
      </c>
      <c r="F787" s="252" t="s">
        <v>43</v>
      </c>
      <c r="G787" s="284" t="s">
        <v>52</v>
      </c>
      <c r="H787" s="285" t="s">
        <v>66</v>
      </c>
      <c r="I787" s="257" t="s">
        <v>1357</v>
      </c>
      <c r="J787" s="257" t="s">
        <v>1358</v>
      </c>
      <c r="K787" s="255" t="s">
        <v>27</v>
      </c>
    </row>
    <row r="788" spans="1:17" ht="12.75" customHeight="1" x14ac:dyDescent="0.2">
      <c r="A788" s="249">
        <v>38608</v>
      </c>
      <c r="B788" s="250" t="s">
        <v>1371</v>
      </c>
      <c r="C788" s="257" t="s">
        <v>1372</v>
      </c>
      <c r="D788" s="257" t="s">
        <v>1373</v>
      </c>
      <c r="E788" s="257" t="s">
        <v>2374</v>
      </c>
      <c r="F788" s="252" t="s">
        <v>49</v>
      </c>
      <c r="G788" s="284" t="s">
        <v>79</v>
      </c>
      <c r="H788" s="285" t="s">
        <v>51</v>
      </c>
      <c r="I788" s="257" t="s">
        <v>1357</v>
      </c>
      <c r="J788" s="257" t="s">
        <v>1358</v>
      </c>
      <c r="K788" s="255" t="s">
        <v>27</v>
      </c>
    </row>
    <row r="789" spans="1:17" ht="12.75" customHeight="1" x14ac:dyDescent="0.2">
      <c r="A789" s="249">
        <v>38588</v>
      </c>
      <c r="B789" s="250" t="s">
        <v>2223</v>
      </c>
      <c r="C789" s="257" t="s">
        <v>2224</v>
      </c>
      <c r="D789" s="257" t="s">
        <v>827</v>
      </c>
      <c r="E789" s="257" t="s">
        <v>2374</v>
      </c>
      <c r="F789" s="252" t="s">
        <v>43</v>
      </c>
      <c r="G789" s="284" t="s">
        <v>44</v>
      </c>
      <c r="H789" s="285" t="s">
        <v>51</v>
      </c>
      <c r="I789" s="257" t="s">
        <v>1357</v>
      </c>
      <c r="J789" s="257" t="s">
        <v>1358</v>
      </c>
      <c r="K789" s="255" t="s">
        <v>27</v>
      </c>
    </row>
    <row r="790" spans="1:17" ht="12.75" customHeight="1" x14ac:dyDescent="0.2">
      <c r="A790" s="249">
        <v>25524</v>
      </c>
      <c r="B790" s="250" t="s">
        <v>1447</v>
      </c>
      <c r="C790" s="257" t="s">
        <v>1448</v>
      </c>
      <c r="D790" s="257" t="s">
        <v>1449</v>
      </c>
      <c r="E790" s="257" t="s">
        <v>2374</v>
      </c>
      <c r="F790" s="252" t="s">
        <v>43</v>
      </c>
      <c r="G790" s="284" t="s">
        <v>44</v>
      </c>
      <c r="H790" s="285" t="s">
        <v>66</v>
      </c>
      <c r="I790" s="257" t="s">
        <v>1357</v>
      </c>
      <c r="J790" s="257" t="s">
        <v>1358</v>
      </c>
      <c r="K790" s="255" t="s">
        <v>27</v>
      </c>
    </row>
    <row r="791" spans="1:17" ht="12.75" customHeight="1" x14ac:dyDescent="0.2">
      <c r="A791" s="249">
        <v>16184</v>
      </c>
      <c r="B791" s="250" t="s">
        <v>118</v>
      </c>
      <c r="C791" s="251" t="s">
        <v>119</v>
      </c>
      <c r="D791" s="251" t="s">
        <v>120</v>
      </c>
      <c r="E791" s="251"/>
      <c r="F791" s="252" t="s">
        <v>43</v>
      </c>
      <c r="G791" s="284" t="s">
        <v>58</v>
      </c>
      <c r="H791" s="285" t="s">
        <v>66</v>
      </c>
      <c r="I791" s="251" t="s">
        <v>1357</v>
      </c>
      <c r="J791" s="251" t="s">
        <v>1358</v>
      </c>
      <c r="K791" s="255" t="s">
        <v>27</v>
      </c>
    </row>
    <row r="792" spans="1:17" ht="12.75" customHeight="1" x14ac:dyDescent="0.2">
      <c r="A792" s="249">
        <v>25887</v>
      </c>
      <c r="B792" s="250">
        <v>9111426</v>
      </c>
      <c r="C792" s="257" t="s">
        <v>500</v>
      </c>
      <c r="D792" s="257" t="s">
        <v>657</v>
      </c>
      <c r="E792" s="257" t="s">
        <v>2374</v>
      </c>
      <c r="F792" s="252" t="s">
        <v>49</v>
      </c>
      <c r="G792" s="284" t="s">
        <v>139</v>
      </c>
      <c r="H792" s="285"/>
      <c r="I792" s="257" t="s">
        <v>1357</v>
      </c>
      <c r="J792" s="257" t="s">
        <v>1358</v>
      </c>
      <c r="K792" s="255" t="s">
        <v>27</v>
      </c>
    </row>
    <row r="793" spans="1:17" ht="12.75" customHeight="1" x14ac:dyDescent="0.2">
      <c r="A793" s="249">
        <v>7607</v>
      </c>
      <c r="B793" s="250" t="s">
        <v>779</v>
      </c>
      <c r="C793" s="251" t="s">
        <v>500</v>
      </c>
      <c r="D793" s="251" t="s">
        <v>61</v>
      </c>
      <c r="E793" s="251"/>
      <c r="F793" s="252" t="s">
        <v>43</v>
      </c>
      <c r="G793" s="284" t="s">
        <v>52</v>
      </c>
      <c r="H793" s="285" t="s">
        <v>45</v>
      </c>
      <c r="I793" s="251" t="s">
        <v>1357</v>
      </c>
      <c r="J793" s="251" t="s">
        <v>1358</v>
      </c>
      <c r="K793" s="255" t="s">
        <v>27</v>
      </c>
    </row>
    <row r="794" spans="1:17" ht="12.75" customHeight="1" x14ac:dyDescent="0.2">
      <c r="A794" s="249">
        <v>25888</v>
      </c>
      <c r="B794" s="250">
        <v>9111425</v>
      </c>
      <c r="C794" s="257" t="s">
        <v>500</v>
      </c>
      <c r="D794" s="257" t="s">
        <v>644</v>
      </c>
      <c r="E794" s="257" t="s">
        <v>2374</v>
      </c>
      <c r="F794" s="252" t="s">
        <v>43</v>
      </c>
      <c r="G794" s="284" t="s">
        <v>67</v>
      </c>
      <c r="H794" s="285" t="s">
        <v>45</v>
      </c>
      <c r="I794" s="257" t="s">
        <v>1357</v>
      </c>
      <c r="J794" s="257" t="s">
        <v>1358</v>
      </c>
      <c r="K794" s="255" t="s">
        <v>27</v>
      </c>
      <c r="L794" s="281"/>
      <c r="M794" s="281"/>
      <c r="N794" s="281"/>
      <c r="Q794" s="283"/>
    </row>
    <row r="795" spans="1:17" ht="12.75" customHeight="1" x14ac:dyDescent="0.2">
      <c r="A795" s="249">
        <v>38548</v>
      </c>
      <c r="B795" s="250" t="s">
        <v>1374</v>
      </c>
      <c r="C795" s="257" t="s">
        <v>500</v>
      </c>
      <c r="D795" s="257" t="s">
        <v>1274</v>
      </c>
      <c r="E795" s="257" t="s">
        <v>2374</v>
      </c>
      <c r="F795" s="252" t="s">
        <v>49</v>
      </c>
      <c r="G795" s="284" t="s">
        <v>79</v>
      </c>
      <c r="H795" s="285" t="s">
        <v>45</v>
      </c>
      <c r="I795" s="257" t="s">
        <v>1357</v>
      </c>
      <c r="J795" s="257" t="s">
        <v>1358</v>
      </c>
      <c r="K795" s="255" t="s">
        <v>27</v>
      </c>
    </row>
    <row r="796" spans="1:17" ht="12.75" customHeight="1" x14ac:dyDescent="0.2">
      <c r="A796" s="249">
        <v>38417</v>
      </c>
      <c r="B796" s="250" t="s">
        <v>1376</v>
      </c>
      <c r="C796" s="257" t="s">
        <v>1377</v>
      </c>
      <c r="D796" s="257" t="s">
        <v>1378</v>
      </c>
      <c r="E796" s="257" t="s">
        <v>2374</v>
      </c>
      <c r="F796" s="252" t="s">
        <v>43</v>
      </c>
      <c r="G796" s="284" t="s">
        <v>52</v>
      </c>
      <c r="H796" s="285" t="s">
        <v>51</v>
      </c>
      <c r="I796" s="257" t="s">
        <v>1357</v>
      </c>
      <c r="J796" s="257" t="s">
        <v>1358</v>
      </c>
      <c r="K796" s="255" t="s">
        <v>27</v>
      </c>
    </row>
    <row r="797" spans="1:17" ht="12.75" customHeight="1" x14ac:dyDescent="0.2">
      <c r="A797" s="249">
        <v>25891</v>
      </c>
      <c r="B797" s="250">
        <v>9111432</v>
      </c>
      <c r="C797" s="257" t="s">
        <v>1379</v>
      </c>
      <c r="D797" s="257" t="s">
        <v>477</v>
      </c>
      <c r="E797" s="257" t="s">
        <v>2374</v>
      </c>
      <c r="F797" s="252" t="s">
        <v>43</v>
      </c>
      <c r="G797" s="284" t="s">
        <v>44</v>
      </c>
      <c r="H797" s="285" t="s">
        <v>45</v>
      </c>
      <c r="I797" s="257" t="s">
        <v>1357</v>
      </c>
      <c r="J797" s="257" t="s">
        <v>1358</v>
      </c>
      <c r="K797" s="255" t="s">
        <v>27</v>
      </c>
    </row>
    <row r="798" spans="1:17" ht="12.75" customHeight="1" x14ac:dyDescent="0.2">
      <c r="A798" s="249">
        <v>38516</v>
      </c>
      <c r="B798" s="250" t="s">
        <v>1380</v>
      </c>
      <c r="C798" s="257" t="s">
        <v>1381</v>
      </c>
      <c r="D798" s="257" t="s">
        <v>315</v>
      </c>
      <c r="E798" s="257" t="s">
        <v>2374</v>
      </c>
      <c r="F798" s="252" t="s">
        <v>43</v>
      </c>
      <c r="G798" s="284" t="s">
        <v>52</v>
      </c>
      <c r="H798" s="285" t="s">
        <v>45</v>
      </c>
      <c r="I798" s="257" t="s">
        <v>1357</v>
      </c>
      <c r="J798" s="257" t="s">
        <v>1358</v>
      </c>
      <c r="K798" s="255" t="s">
        <v>27</v>
      </c>
    </row>
    <row r="799" spans="1:17" ht="12.75" customHeight="1" x14ac:dyDescent="0.2">
      <c r="A799" s="249">
        <v>7627</v>
      </c>
      <c r="B799" s="250" t="s">
        <v>1382</v>
      </c>
      <c r="C799" s="251" t="s">
        <v>1383</v>
      </c>
      <c r="D799" s="251" t="s">
        <v>614</v>
      </c>
      <c r="E799" s="251"/>
      <c r="F799" s="252" t="s">
        <v>49</v>
      </c>
      <c r="G799" s="284" t="s">
        <v>50</v>
      </c>
      <c r="H799" s="285" t="s">
        <v>45</v>
      </c>
      <c r="I799" s="251" t="s">
        <v>1357</v>
      </c>
      <c r="J799" s="251" t="s">
        <v>1358</v>
      </c>
      <c r="K799" s="255" t="s">
        <v>27</v>
      </c>
    </row>
    <row r="800" spans="1:17" ht="12.75" customHeight="1" x14ac:dyDescent="0.2">
      <c r="A800" s="249">
        <v>7620</v>
      </c>
      <c r="B800" s="250" t="s">
        <v>1384</v>
      </c>
      <c r="C800" s="251" t="s">
        <v>1383</v>
      </c>
      <c r="D800" s="251" t="s">
        <v>1071</v>
      </c>
      <c r="E800" s="251"/>
      <c r="F800" s="252" t="s">
        <v>43</v>
      </c>
      <c r="G800" s="284" t="s">
        <v>58</v>
      </c>
      <c r="H800" s="285" t="s">
        <v>45</v>
      </c>
      <c r="I800" s="251" t="s">
        <v>1357</v>
      </c>
      <c r="J800" s="251" t="s">
        <v>1358</v>
      </c>
      <c r="K800" s="255" t="s">
        <v>27</v>
      </c>
    </row>
    <row r="801" spans="1:17" ht="12.75" customHeight="1" x14ac:dyDescent="0.2">
      <c r="A801" s="249">
        <v>16672</v>
      </c>
      <c r="B801" s="250" t="s">
        <v>1385</v>
      </c>
      <c r="C801" s="251" t="s">
        <v>648</v>
      </c>
      <c r="D801" s="251" t="s">
        <v>61</v>
      </c>
      <c r="E801" s="251"/>
      <c r="F801" s="252" t="s">
        <v>43</v>
      </c>
      <c r="G801" s="284" t="s">
        <v>52</v>
      </c>
      <c r="H801" s="285" t="s">
        <v>45</v>
      </c>
      <c r="I801" s="251" t="s">
        <v>1357</v>
      </c>
      <c r="J801" s="251" t="s">
        <v>1358</v>
      </c>
      <c r="K801" s="255" t="s">
        <v>27</v>
      </c>
    </row>
    <row r="802" spans="1:17" ht="12.75" customHeight="1" x14ac:dyDescent="0.2">
      <c r="A802" s="249">
        <v>38391</v>
      </c>
      <c r="B802" s="250" t="s">
        <v>1386</v>
      </c>
      <c r="C802" s="257" t="s">
        <v>1387</v>
      </c>
      <c r="D802" s="257" t="s">
        <v>87</v>
      </c>
      <c r="E802" s="257" t="s">
        <v>2374</v>
      </c>
      <c r="F802" s="252" t="s">
        <v>43</v>
      </c>
      <c r="G802" s="284" t="s">
        <v>67</v>
      </c>
      <c r="H802" s="285" t="s">
        <v>66</v>
      </c>
      <c r="I802" s="257" t="s">
        <v>1357</v>
      </c>
      <c r="J802" s="257" t="s">
        <v>1358</v>
      </c>
      <c r="K802" s="255" t="s">
        <v>27</v>
      </c>
    </row>
    <row r="803" spans="1:17" ht="12.75" customHeight="1" x14ac:dyDescent="0.2">
      <c r="A803" s="249">
        <v>38392</v>
      </c>
      <c r="B803" s="250" t="s">
        <v>1497</v>
      </c>
      <c r="C803" s="257" t="s">
        <v>1387</v>
      </c>
      <c r="D803" s="257" t="s">
        <v>88</v>
      </c>
      <c r="E803" s="257" t="s">
        <v>2374</v>
      </c>
      <c r="F803" s="252" t="s">
        <v>43</v>
      </c>
      <c r="G803" s="284" t="s">
        <v>94</v>
      </c>
      <c r="H803" s="285" t="s">
        <v>66</v>
      </c>
      <c r="I803" s="257" t="s">
        <v>1357</v>
      </c>
      <c r="J803" s="257" t="s">
        <v>1358</v>
      </c>
      <c r="K803" s="255" t="s">
        <v>27</v>
      </c>
    </row>
    <row r="804" spans="1:17" ht="12.75" customHeight="1" x14ac:dyDescent="0.2">
      <c r="A804" s="249">
        <v>38586</v>
      </c>
      <c r="B804" s="250" t="s">
        <v>1388</v>
      </c>
      <c r="C804" s="257" t="s">
        <v>1389</v>
      </c>
      <c r="D804" s="257" t="s">
        <v>73</v>
      </c>
      <c r="E804" s="257" t="s">
        <v>2374</v>
      </c>
      <c r="F804" s="252" t="s">
        <v>43</v>
      </c>
      <c r="G804" s="284" t="s">
        <v>44</v>
      </c>
      <c r="H804" s="285" t="s">
        <v>45</v>
      </c>
      <c r="I804" s="257" t="s">
        <v>1357</v>
      </c>
      <c r="J804" s="257" t="s">
        <v>1358</v>
      </c>
      <c r="K804" s="255" t="s">
        <v>27</v>
      </c>
    </row>
    <row r="805" spans="1:17" ht="12.75" customHeight="1" x14ac:dyDescent="0.2">
      <c r="A805" s="249">
        <v>38530</v>
      </c>
      <c r="B805" s="250" t="s">
        <v>1390</v>
      </c>
      <c r="C805" s="251" t="s">
        <v>1391</v>
      </c>
      <c r="D805" s="251" t="s">
        <v>195</v>
      </c>
      <c r="E805" s="251"/>
      <c r="F805" s="252" t="s">
        <v>43</v>
      </c>
      <c r="G805" s="284" t="s">
        <v>44</v>
      </c>
      <c r="H805" s="285" t="s">
        <v>180</v>
      </c>
      <c r="I805" s="251" t="s">
        <v>1357</v>
      </c>
      <c r="J805" s="251" t="s">
        <v>1358</v>
      </c>
      <c r="K805" s="255" t="s">
        <v>27</v>
      </c>
    </row>
    <row r="806" spans="1:17" ht="12.75" customHeight="1" x14ac:dyDescent="0.2">
      <c r="A806" s="249">
        <v>16187</v>
      </c>
      <c r="B806" s="250" t="s">
        <v>108</v>
      </c>
      <c r="C806" s="251" t="s">
        <v>109</v>
      </c>
      <c r="D806" s="251" t="s">
        <v>93</v>
      </c>
      <c r="E806" s="251"/>
      <c r="F806" s="252" t="s">
        <v>43</v>
      </c>
      <c r="G806" s="284" t="s">
        <v>44</v>
      </c>
      <c r="H806" s="285" t="s">
        <v>45</v>
      </c>
      <c r="I806" s="251" t="s">
        <v>1357</v>
      </c>
      <c r="J806" s="251" t="s">
        <v>1358</v>
      </c>
      <c r="K806" s="255" t="s">
        <v>27</v>
      </c>
    </row>
    <row r="807" spans="1:17" ht="12.75" customHeight="1" x14ac:dyDescent="0.2">
      <c r="A807" s="249">
        <v>16185</v>
      </c>
      <c r="B807" s="250" t="s">
        <v>121</v>
      </c>
      <c r="C807" s="257" t="s">
        <v>109</v>
      </c>
      <c r="D807" s="257" t="s">
        <v>122</v>
      </c>
      <c r="E807" s="257" t="s">
        <v>2374</v>
      </c>
      <c r="F807" s="252" t="s">
        <v>43</v>
      </c>
      <c r="G807" s="284" t="s">
        <v>44</v>
      </c>
      <c r="H807" s="285" t="s">
        <v>180</v>
      </c>
      <c r="I807" s="251" t="s">
        <v>1357</v>
      </c>
      <c r="J807" s="251" t="s">
        <v>1358</v>
      </c>
      <c r="K807" s="255" t="s">
        <v>27</v>
      </c>
    </row>
    <row r="808" spans="1:17" ht="12.75" customHeight="1" x14ac:dyDescent="0.2">
      <c r="A808" s="249">
        <v>25344</v>
      </c>
      <c r="B808" s="250" t="s">
        <v>1408</v>
      </c>
      <c r="C808" s="251" t="s">
        <v>1409</v>
      </c>
      <c r="D808" s="251" t="s">
        <v>1269</v>
      </c>
      <c r="E808" s="251"/>
      <c r="F808" s="252" t="s">
        <v>49</v>
      </c>
      <c r="G808" s="284" t="s">
        <v>79</v>
      </c>
      <c r="H808" s="285" t="s">
        <v>45</v>
      </c>
      <c r="I808" s="251" t="s">
        <v>1410</v>
      </c>
      <c r="J808" s="251" t="s">
        <v>1358</v>
      </c>
      <c r="K808" s="255" t="s">
        <v>27</v>
      </c>
    </row>
    <row r="809" spans="1:17" ht="12.75" customHeight="1" x14ac:dyDescent="0.2">
      <c r="A809" s="249">
        <v>7422</v>
      </c>
      <c r="B809" s="250" t="s">
        <v>1411</v>
      </c>
      <c r="C809" s="251" t="s">
        <v>1412</v>
      </c>
      <c r="D809" s="251" t="s">
        <v>179</v>
      </c>
      <c r="E809" s="251"/>
      <c r="F809" s="252" t="s">
        <v>43</v>
      </c>
      <c r="G809" s="284" t="s">
        <v>44</v>
      </c>
      <c r="H809" s="285"/>
      <c r="I809" s="251" t="s">
        <v>1410</v>
      </c>
      <c r="J809" s="251" t="s">
        <v>1358</v>
      </c>
      <c r="K809" s="255" t="s">
        <v>27</v>
      </c>
      <c r="L809" s="281"/>
      <c r="M809" s="281"/>
      <c r="N809" s="281"/>
      <c r="Q809" s="283"/>
    </row>
    <row r="810" spans="1:17" ht="12.75" customHeight="1" x14ac:dyDescent="0.2">
      <c r="A810" s="249">
        <v>25083</v>
      </c>
      <c r="B810" s="250" t="s">
        <v>1413</v>
      </c>
      <c r="C810" s="251" t="s">
        <v>1414</v>
      </c>
      <c r="D810" s="251" t="s">
        <v>159</v>
      </c>
      <c r="E810" s="251"/>
      <c r="F810" s="252" t="s">
        <v>49</v>
      </c>
      <c r="G810" s="284" t="s">
        <v>79</v>
      </c>
      <c r="H810" s="285" t="s">
        <v>180</v>
      </c>
      <c r="I810" s="251" t="s">
        <v>1410</v>
      </c>
      <c r="J810" s="251" t="s">
        <v>1358</v>
      </c>
      <c r="K810" s="255" t="s">
        <v>27</v>
      </c>
    </row>
    <row r="811" spans="1:17" ht="12.75" customHeight="1" x14ac:dyDescent="0.2">
      <c r="A811" s="249">
        <v>25010</v>
      </c>
      <c r="B811" s="250" t="s">
        <v>1415</v>
      </c>
      <c r="C811" s="257" t="s">
        <v>1416</v>
      </c>
      <c r="D811" s="257" t="s">
        <v>688</v>
      </c>
      <c r="E811" s="257" t="s">
        <v>2374</v>
      </c>
      <c r="F811" s="252" t="s">
        <v>49</v>
      </c>
      <c r="G811" s="284" t="s">
        <v>50</v>
      </c>
      <c r="H811" s="285" t="s">
        <v>66</v>
      </c>
      <c r="I811" s="257" t="s">
        <v>1410</v>
      </c>
      <c r="J811" s="257" t="s">
        <v>1358</v>
      </c>
      <c r="K811" s="255" t="s">
        <v>27</v>
      </c>
    </row>
    <row r="812" spans="1:17" ht="12.75" customHeight="1" x14ac:dyDescent="0.2">
      <c r="A812" s="249">
        <v>7408</v>
      </c>
      <c r="B812" s="250">
        <v>9111164</v>
      </c>
      <c r="C812" s="251" t="s">
        <v>1417</v>
      </c>
      <c r="D812" s="251" t="s">
        <v>982</v>
      </c>
      <c r="E812" s="251"/>
      <c r="F812" s="252" t="s">
        <v>43</v>
      </c>
      <c r="G812" s="284" t="s">
        <v>44</v>
      </c>
      <c r="H812" s="285" t="s">
        <v>239</v>
      </c>
      <c r="I812" s="251" t="s">
        <v>1410</v>
      </c>
      <c r="J812" s="251" t="s">
        <v>1358</v>
      </c>
      <c r="K812" s="255" t="s">
        <v>27</v>
      </c>
    </row>
    <row r="813" spans="1:17" ht="12.75" customHeight="1" x14ac:dyDescent="0.2">
      <c r="A813" s="249">
        <v>16762</v>
      </c>
      <c r="B813" s="250" t="s">
        <v>1418</v>
      </c>
      <c r="C813" s="251" t="s">
        <v>1419</v>
      </c>
      <c r="D813" s="251" t="s">
        <v>116</v>
      </c>
      <c r="E813" s="251"/>
      <c r="F813" s="252" t="s">
        <v>43</v>
      </c>
      <c r="G813" s="284" t="s">
        <v>52</v>
      </c>
      <c r="H813" s="285"/>
      <c r="I813" s="251" t="s">
        <v>1410</v>
      </c>
      <c r="J813" s="251" t="s">
        <v>1358</v>
      </c>
      <c r="K813" s="255" t="s">
        <v>27</v>
      </c>
    </row>
    <row r="814" spans="1:17" ht="12.75" customHeight="1" x14ac:dyDescent="0.2">
      <c r="A814" s="249">
        <v>16712</v>
      </c>
      <c r="B814" s="250" t="s">
        <v>1422</v>
      </c>
      <c r="C814" s="251" t="s">
        <v>1423</v>
      </c>
      <c r="D814" s="251" t="s">
        <v>744</v>
      </c>
      <c r="E814" s="251"/>
      <c r="F814" s="252" t="s">
        <v>49</v>
      </c>
      <c r="G814" s="284" t="s">
        <v>79</v>
      </c>
      <c r="H814" s="285" t="s">
        <v>180</v>
      </c>
      <c r="I814" s="251" t="s">
        <v>1410</v>
      </c>
      <c r="J814" s="251" t="s">
        <v>1358</v>
      </c>
      <c r="K814" s="255" t="s">
        <v>27</v>
      </c>
    </row>
    <row r="815" spans="1:17" ht="12.75" customHeight="1" x14ac:dyDescent="0.2">
      <c r="A815" s="249">
        <v>7600</v>
      </c>
      <c r="B815" s="250" t="s">
        <v>1424</v>
      </c>
      <c r="C815" s="251" t="s">
        <v>1425</v>
      </c>
      <c r="D815" s="251" t="s">
        <v>494</v>
      </c>
      <c r="E815" s="251"/>
      <c r="F815" s="252" t="s">
        <v>43</v>
      </c>
      <c r="G815" s="284" t="s">
        <v>44</v>
      </c>
      <c r="H815" s="285" t="s">
        <v>66</v>
      </c>
      <c r="I815" s="251" t="s">
        <v>1410</v>
      </c>
      <c r="J815" s="251" t="s">
        <v>1358</v>
      </c>
      <c r="K815" s="255" t="s">
        <v>27</v>
      </c>
    </row>
    <row r="816" spans="1:17" ht="12.75" customHeight="1" x14ac:dyDescent="0.2">
      <c r="A816" s="249">
        <v>7601</v>
      </c>
      <c r="B816" s="250" t="s">
        <v>1426</v>
      </c>
      <c r="C816" s="251" t="s">
        <v>1425</v>
      </c>
      <c r="D816" s="251" t="s">
        <v>1427</v>
      </c>
      <c r="E816" s="251"/>
      <c r="F816" s="252" t="s">
        <v>43</v>
      </c>
      <c r="G816" s="284" t="s">
        <v>52</v>
      </c>
      <c r="H816" s="285" t="s">
        <v>66</v>
      </c>
      <c r="I816" s="251" t="s">
        <v>1410</v>
      </c>
      <c r="J816" s="251" t="s">
        <v>1358</v>
      </c>
      <c r="K816" s="255" t="s">
        <v>27</v>
      </c>
    </row>
    <row r="817" spans="1:17" ht="12.75" customHeight="1" x14ac:dyDescent="0.2">
      <c r="A817" s="249">
        <v>7251</v>
      </c>
      <c r="B817" s="250" t="s">
        <v>1428</v>
      </c>
      <c r="C817" s="251" t="s">
        <v>1429</v>
      </c>
      <c r="D817" s="251" t="s">
        <v>481</v>
      </c>
      <c r="E817" s="251"/>
      <c r="F817" s="252" t="s">
        <v>43</v>
      </c>
      <c r="G817" s="284" t="s">
        <v>52</v>
      </c>
      <c r="H817" s="285" t="s">
        <v>45</v>
      </c>
      <c r="I817" s="251" t="s">
        <v>1410</v>
      </c>
      <c r="J817" s="251" t="s">
        <v>1358</v>
      </c>
      <c r="K817" s="255" t="s">
        <v>27</v>
      </c>
    </row>
    <row r="818" spans="1:17" ht="12.75" customHeight="1" x14ac:dyDescent="0.2">
      <c r="A818" s="249">
        <v>7443</v>
      </c>
      <c r="B818" s="250" t="s">
        <v>1430</v>
      </c>
      <c r="C818" s="251" t="s">
        <v>1429</v>
      </c>
      <c r="D818" s="251" t="s">
        <v>1431</v>
      </c>
      <c r="E818" s="251"/>
      <c r="F818" s="252" t="s">
        <v>49</v>
      </c>
      <c r="G818" s="284" t="s">
        <v>139</v>
      </c>
      <c r="H818" s="285" t="s">
        <v>45</v>
      </c>
      <c r="I818" s="251" t="s">
        <v>1410</v>
      </c>
      <c r="J818" s="251" t="s">
        <v>1358</v>
      </c>
      <c r="K818" s="255" t="s">
        <v>27</v>
      </c>
    </row>
    <row r="819" spans="1:17" ht="12.75" customHeight="1" x14ac:dyDescent="0.2">
      <c r="A819" s="249">
        <v>7416</v>
      </c>
      <c r="B819" s="250" t="s">
        <v>1432</v>
      </c>
      <c r="C819" s="251" t="s">
        <v>727</v>
      </c>
      <c r="D819" s="251" t="s">
        <v>367</v>
      </c>
      <c r="E819" s="251"/>
      <c r="F819" s="252" t="s">
        <v>43</v>
      </c>
      <c r="G819" s="284" t="s">
        <v>44</v>
      </c>
      <c r="H819" s="285" t="s">
        <v>180</v>
      </c>
      <c r="I819" s="251" t="s">
        <v>1410</v>
      </c>
      <c r="J819" s="251" t="s">
        <v>1358</v>
      </c>
      <c r="K819" s="255" t="s">
        <v>27</v>
      </c>
    </row>
    <row r="820" spans="1:17" ht="12.75" customHeight="1" x14ac:dyDescent="0.2">
      <c r="A820" s="249">
        <v>38099</v>
      </c>
      <c r="B820" s="250" t="s">
        <v>1435</v>
      </c>
      <c r="C820" s="257" t="s">
        <v>1434</v>
      </c>
      <c r="D820" s="257" t="s">
        <v>143</v>
      </c>
      <c r="E820" s="257" t="s">
        <v>2374</v>
      </c>
      <c r="F820" s="252" t="s">
        <v>43</v>
      </c>
      <c r="G820" s="284" t="s">
        <v>52</v>
      </c>
      <c r="H820" s="285"/>
      <c r="I820" s="257" t="s">
        <v>1410</v>
      </c>
      <c r="J820" s="257" t="s">
        <v>1358</v>
      </c>
      <c r="K820" s="255" t="s">
        <v>27</v>
      </c>
    </row>
    <row r="821" spans="1:17" ht="12.75" customHeight="1" x14ac:dyDescent="0.2">
      <c r="A821" s="249">
        <v>7424</v>
      </c>
      <c r="B821" s="250" t="s">
        <v>1436</v>
      </c>
      <c r="C821" s="251" t="s">
        <v>1437</v>
      </c>
      <c r="D821" s="251" t="s">
        <v>1438</v>
      </c>
      <c r="E821" s="251" t="s">
        <v>770</v>
      </c>
      <c r="F821" s="252" t="s">
        <v>43</v>
      </c>
      <c r="G821" s="284" t="s">
        <v>52</v>
      </c>
      <c r="H821" s="285" t="s">
        <v>45</v>
      </c>
      <c r="I821" s="251" t="s">
        <v>1410</v>
      </c>
      <c r="J821" s="251" t="s">
        <v>1358</v>
      </c>
      <c r="K821" s="255" t="s">
        <v>27</v>
      </c>
    </row>
    <row r="822" spans="1:17" ht="12.75" customHeight="1" x14ac:dyDescent="0.2">
      <c r="A822" s="249">
        <v>7439</v>
      </c>
      <c r="B822" s="250" t="s">
        <v>1439</v>
      </c>
      <c r="C822" s="257" t="s">
        <v>1437</v>
      </c>
      <c r="D822" s="257" t="s">
        <v>1440</v>
      </c>
      <c r="E822" s="257" t="s">
        <v>770</v>
      </c>
      <c r="F822" s="252" t="s">
        <v>49</v>
      </c>
      <c r="G822" s="284" t="s">
        <v>139</v>
      </c>
      <c r="H822" s="285" t="s">
        <v>45</v>
      </c>
      <c r="I822" s="251" t="s">
        <v>1410</v>
      </c>
      <c r="J822" s="257" t="s">
        <v>1358</v>
      </c>
      <c r="K822" s="255" t="s">
        <v>27</v>
      </c>
    </row>
    <row r="823" spans="1:17" ht="12.75" customHeight="1" x14ac:dyDescent="0.2">
      <c r="A823" s="249">
        <v>7415</v>
      </c>
      <c r="B823" s="250" t="s">
        <v>1926</v>
      </c>
      <c r="C823" s="251" t="s">
        <v>1441</v>
      </c>
      <c r="D823" s="251" t="s">
        <v>238</v>
      </c>
      <c r="E823" s="251"/>
      <c r="F823" s="252" t="s">
        <v>43</v>
      </c>
      <c r="G823" s="284" t="s">
        <v>52</v>
      </c>
      <c r="H823" s="285" t="s">
        <v>66</v>
      </c>
      <c r="I823" s="251" t="s">
        <v>1410</v>
      </c>
      <c r="J823" s="251" t="s">
        <v>1358</v>
      </c>
      <c r="K823" s="255" t="s">
        <v>27</v>
      </c>
      <c r="L823" s="281"/>
      <c r="M823" s="281"/>
      <c r="N823" s="281"/>
      <c r="Q823" s="283"/>
    </row>
    <row r="824" spans="1:17" ht="12.75" customHeight="1" x14ac:dyDescent="0.2">
      <c r="A824" s="249">
        <v>25722</v>
      </c>
      <c r="B824" s="250">
        <v>9091279</v>
      </c>
      <c r="C824" s="257" t="s">
        <v>1441</v>
      </c>
      <c r="D824" s="257" t="s">
        <v>494</v>
      </c>
      <c r="E824" s="257" t="s">
        <v>2374</v>
      </c>
      <c r="F824" s="252" t="s">
        <v>43</v>
      </c>
      <c r="G824" s="284" t="s">
        <v>44</v>
      </c>
      <c r="H824" s="285" t="s">
        <v>45</v>
      </c>
      <c r="I824" s="257" t="s">
        <v>1410</v>
      </c>
      <c r="J824" s="257" t="s">
        <v>1358</v>
      </c>
      <c r="K824" s="255" t="s">
        <v>27</v>
      </c>
    </row>
    <row r="825" spans="1:17" ht="12.75" customHeight="1" x14ac:dyDescent="0.2">
      <c r="A825" s="249">
        <v>38713</v>
      </c>
      <c r="B825" s="250" t="s">
        <v>1927</v>
      </c>
      <c r="C825" s="257" t="s">
        <v>1661</v>
      </c>
      <c r="D825" s="257" t="s">
        <v>1928</v>
      </c>
      <c r="E825" s="257" t="s">
        <v>2374</v>
      </c>
      <c r="F825" s="252" t="s">
        <v>49</v>
      </c>
      <c r="G825" s="284" t="s">
        <v>139</v>
      </c>
      <c r="H825" s="285" t="s">
        <v>66</v>
      </c>
      <c r="I825" s="257" t="s">
        <v>1444</v>
      </c>
      <c r="J825" s="257" t="s">
        <v>1358</v>
      </c>
      <c r="K825" s="255" t="s">
        <v>27</v>
      </c>
    </row>
    <row r="826" spans="1:17" ht="12.75" customHeight="1" x14ac:dyDescent="0.2">
      <c r="A826" s="249">
        <v>38216</v>
      </c>
      <c r="B826" s="250" t="s">
        <v>1442</v>
      </c>
      <c r="C826" s="257" t="s">
        <v>1443</v>
      </c>
      <c r="D826" s="257" t="s">
        <v>359</v>
      </c>
      <c r="E826" s="257" t="s">
        <v>2374</v>
      </c>
      <c r="F826" s="252" t="s">
        <v>43</v>
      </c>
      <c r="G826" s="284" t="s">
        <v>44</v>
      </c>
      <c r="H826" s="285" t="s">
        <v>66</v>
      </c>
      <c r="I826" s="257" t="s">
        <v>1444</v>
      </c>
      <c r="J826" s="257" t="s">
        <v>1358</v>
      </c>
      <c r="K826" s="255" t="s">
        <v>27</v>
      </c>
    </row>
    <row r="827" spans="1:17" ht="12.75" customHeight="1" x14ac:dyDescent="0.2">
      <c r="A827" s="249">
        <v>38677</v>
      </c>
      <c r="B827" s="250" t="s">
        <v>2225</v>
      </c>
      <c r="C827" s="257" t="s">
        <v>2226</v>
      </c>
      <c r="D827" s="257" t="s">
        <v>2227</v>
      </c>
      <c r="E827" s="257" t="s">
        <v>2374</v>
      </c>
      <c r="F827" s="252" t="s">
        <v>49</v>
      </c>
      <c r="G827" s="284" t="s">
        <v>139</v>
      </c>
      <c r="H827" s="285" t="s">
        <v>51</v>
      </c>
      <c r="I827" s="257" t="s">
        <v>1444</v>
      </c>
      <c r="J827" s="257" t="s">
        <v>1358</v>
      </c>
      <c r="K827" s="255" t="s">
        <v>27</v>
      </c>
    </row>
    <row r="828" spans="1:17" ht="12.75" customHeight="1" x14ac:dyDescent="0.2">
      <c r="A828" s="249">
        <v>38667</v>
      </c>
      <c r="B828" s="250" t="s">
        <v>456</v>
      </c>
      <c r="C828" s="251" t="s">
        <v>457</v>
      </c>
      <c r="D828" s="251" t="s">
        <v>458</v>
      </c>
      <c r="E828" s="251"/>
      <c r="F828" s="252" t="s">
        <v>49</v>
      </c>
      <c r="G828" s="284" t="s">
        <v>228</v>
      </c>
      <c r="H828" s="285" t="s">
        <v>104</v>
      </c>
      <c r="I828" s="251" t="s">
        <v>1444</v>
      </c>
      <c r="J828" s="251" t="s">
        <v>1358</v>
      </c>
      <c r="K828" s="255" t="s">
        <v>27</v>
      </c>
      <c r="L828" s="281"/>
      <c r="M828" s="281"/>
      <c r="N828" s="281"/>
      <c r="Q828" s="283"/>
    </row>
    <row r="829" spans="1:17" ht="12.75" customHeight="1" x14ac:dyDescent="0.2">
      <c r="A829" s="249">
        <v>38666</v>
      </c>
      <c r="B829" s="250" t="s">
        <v>459</v>
      </c>
      <c r="C829" s="251" t="s">
        <v>457</v>
      </c>
      <c r="D829" s="251" t="s">
        <v>73</v>
      </c>
      <c r="E829" s="251"/>
      <c r="F829" s="252" t="s">
        <v>43</v>
      </c>
      <c r="G829" s="284" t="s">
        <v>58</v>
      </c>
      <c r="H829" s="285" t="s">
        <v>104</v>
      </c>
      <c r="I829" s="251" t="s">
        <v>1444</v>
      </c>
      <c r="J829" s="251" t="s">
        <v>1358</v>
      </c>
      <c r="K829" s="255" t="s">
        <v>27</v>
      </c>
      <c r="L829" s="281"/>
      <c r="M829" s="281"/>
      <c r="N829" s="281"/>
      <c r="Q829" s="283"/>
    </row>
    <row r="830" spans="1:17" ht="12.75" customHeight="1" x14ac:dyDescent="0.2">
      <c r="A830" s="249">
        <v>25711</v>
      </c>
      <c r="B830" s="250">
        <v>9091132</v>
      </c>
      <c r="C830" s="257" t="s">
        <v>1445</v>
      </c>
      <c r="D830" s="257" t="s">
        <v>87</v>
      </c>
      <c r="E830" s="257" t="s">
        <v>2374</v>
      </c>
      <c r="F830" s="252" t="s">
        <v>43</v>
      </c>
      <c r="G830" s="284" t="s">
        <v>44</v>
      </c>
      <c r="H830" s="285" t="s">
        <v>66</v>
      </c>
      <c r="I830" s="257" t="s">
        <v>1444</v>
      </c>
      <c r="J830" s="257" t="s">
        <v>1358</v>
      </c>
      <c r="K830" s="255" t="s">
        <v>27</v>
      </c>
      <c r="L830" s="281"/>
      <c r="M830" s="281"/>
      <c r="N830" s="281"/>
      <c r="Q830" s="283"/>
    </row>
    <row r="831" spans="1:17" ht="12.75" customHeight="1" x14ac:dyDescent="0.2">
      <c r="A831" s="249">
        <v>38579</v>
      </c>
      <c r="B831" s="250" t="s">
        <v>1393</v>
      </c>
      <c r="C831" s="257" t="s">
        <v>1394</v>
      </c>
      <c r="D831" s="257" t="s">
        <v>1395</v>
      </c>
      <c r="E831" s="257" t="s">
        <v>2374</v>
      </c>
      <c r="F831" s="252" t="s">
        <v>49</v>
      </c>
      <c r="G831" s="284" t="s">
        <v>79</v>
      </c>
      <c r="H831" s="285"/>
      <c r="I831" s="257" t="s">
        <v>1444</v>
      </c>
      <c r="J831" s="257" t="s">
        <v>1358</v>
      </c>
      <c r="K831" s="255" t="s">
        <v>27</v>
      </c>
    </row>
    <row r="832" spans="1:17" s="278" customFormat="1" ht="12.75" customHeight="1" x14ac:dyDescent="0.25">
      <c r="A832" s="249">
        <v>25821</v>
      </c>
      <c r="B832" s="250" t="s">
        <v>2294</v>
      </c>
      <c r="C832" s="251" t="s">
        <v>310</v>
      </c>
      <c r="D832" s="251" t="s">
        <v>184</v>
      </c>
      <c r="E832" s="251"/>
      <c r="F832" s="252" t="s">
        <v>43</v>
      </c>
      <c r="G832" s="284" t="s">
        <v>52</v>
      </c>
      <c r="H832" s="285" t="s">
        <v>45</v>
      </c>
      <c r="I832" s="251" t="s">
        <v>1444</v>
      </c>
      <c r="J832" s="251" t="s">
        <v>1358</v>
      </c>
      <c r="K832" s="255" t="s">
        <v>27</v>
      </c>
    </row>
    <row r="833" spans="1:17" s="278" customFormat="1" ht="12.75" customHeight="1" x14ac:dyDescent="0.25">
      <c r="A833" s="249">
        <v>25822</v>
      </c>
      <c r="B833" s="250" t="s">
        <v>1446</v>
      </c>
      <c r="C833" s="251" t="s">
        <v>310</v>
      </c>
      <c r="D833" s="251" t="s">
        <v>667</v>
      </c>
      <c r="E833" s="251"/>
      <c r="F833" s="252" t="s">
        <v>43</v>
      </c>
      <c r="G833" s="284" t="s">
        <v>44</v>
      </c>
      <c r="H833" s="285" t="s">
        <v>239</v>
      </c>
      <c r="I833" s="251" t="s">
        <v>1444</v>
      </c>
      <c r="J833" s="251" t="s">
        <v>1358</v>
      </c>
      <c r="K833" s="255" t="s">
        <v>27</v>
      </c>
    </row>
    <row r="834" spans="1:17" s="278" customFormat="1" ht="12.75" customHeight="1" x14ac:dyDescent="0.25">
      <c r="A834" s="249">
        <v>25826</v>
      </c>
      <c r="B834" s="250" t="s">
        <v>2295</v>
      </c>
      <c r="C834" s="251" t="s">
        <v>1450</v>
      </c>
      <c r="D834" s="251" t="s">
        <v>122</v>
      </c>
      <c r="E834" s="251"/>
      <c r="F834" s="252" t="s">
        <v>43</v>
      </c>
      <c r="G834" s="284" t="s">
        <v>44</v>
      </c>
      <c r="H834" s="285" t="s">
        <v>66</v>
      </c>
      <c r="I834" s="251" t="s">
        <v>1444</v>
      </c>
      <c r="J834" s="251" t="s">
        <v>1358</v>
      </c>
      <c r="K834" s="255" t="s">
        <v>27</v>
      </c>
    </row>
    <row r="835" spans="1:17" s="278" customFormat="1" ht="12.75" customHeight="1" x14ac:dyDescent="0.25">
      <c r="A835" s="249">
        <v>38652</v>
      </c>
      <c r="B835" s="250" t="s">
        <v>1397</v>
      </c>
      <c r="C835" s="257" t="s">
        <v>1398</v>
      </c>
      <c r="D835" s="257" t="s">
        <v>1399</v>
      </c>
      <c r="E835" s="257" t="s">
        <v>2374</v>
      </c>
      <c r="F835" s="252" t="s">
        <v>43</v>
      </c>
      <c r="G835" s="284" t="s">
        <v>44</v>
      </c>
      <c r="H835" s="285" t="s">
        <v>66</v>
      </c>
      <c r="I835" s="257" t="s">
        <v>1444</v>
      </c>
      <c r="J835" s="257" t="s">
        <v>1358</v>
      </c>
      <c r="K835" s="255" t="s">
        <v>27</v>
      </c>
    </row>
    <row r="836" spans="1:17" s="278" customFormat="1" ht="12.75" customHeight="1" x14ac:dyDescent="0.25">
      <c r="A836" s="249">
        <v>38577</v>
      </c>
      <c r="B836" s="250" t="s">
        <v>1400</v>
      </c>
      <c r="C836" s="257" t="s">
        <v>1401</v>
      </c>
      <c r="D836" s="257" t="s">
        <v>65</v>
      </c>
      <c r="E836" s="257" t="s">
        <v>2374</v>
      </c>
      <c r="F836" s="252" t="s">
        <v>43</v>
      </c>
      <c r="G836" s="284" t="s">
        <v>52</v>
      </c>
      <c r="H836" s="285" t="s">
        <v>66</v>
      </c>
      <c r="I836" s="257" t="s">
        <v>1444</v>
      </c>
      <c r="J836" s="257" t="s">
        <v>1358</v>
      </c>
      <c r="K836" s="255" t="s">
        <v>27</v>
      </c>
    </row>
    <row r="837" spans="1:17" s="289" customFormat="1" ht="12.75" customHeight="1" x14ac:dyDescent="0.2">
      <c r="A837" s="249">
        <v>38384</v>
      </c>
      <c r="B837" s="250" t="s">
        <v>1451</v>
      </c>
      <c r="C837" s="251" t="s">
        <v>1452</v>
      </c>
      <c r="D837" s="251" t="s">
        <v>359</v>
      </c>
      <c r="E837" s="251"/>
      <c r="F837" s="252" t="s">
        <v>43</v>
      </c>
      <c r="G837" s="284" t="s">
        <v>67</v>
      </c>
      <c r="H837" s="285"/>
      <c r="I837" s="251" t="s">
        <v>1444</v>
      </c>
      <c r="J837" s="251" t="s">
        <v>1358</v>
      </c>
      <c r="K837" s="268" t="s">
        <v>27</v>
      </c>
    </row>
    <row r="838" spans="1:17" s="278" customFormat="1" ht="12.75" customHeight="1" x14ac:dyDescent="0.25">
      <c r="A838" s="249">
        <v>38627</v>
      </c>
      <c r="B838" s="250" t="s">
        <v>2358</v>
      </c>
      <c r="C838" s="257" t="s">
        <v>2359</v>
      </c>
      <c r="D838" s="257" t="s">
        <v>1109</v>
      </c>
      <c r="E838" s="257" t="s">
        <v>2374</v>
      </c>
      <c r="F838" s="252" t="s">
        <v>49</v>
      </c>
      <c r="G838" s="258" t="s">
        <v>50</v>
      </c>
      <c r="H838" s="259">
        <v>0</v>
      </c>
      <c r="I838" s="257" t="s">
        <v>1444</v>
      </c>
      <c r="J838" s="257" t="s">
        <v>1358</v>
      </c>
      <c r="K838" s="255" t="s">
        <v>27</v>
      </c>
    </row>
    <row r="839" spans="1:17" ht="12.75" customHeight="1" x14ac:dyDescent="0.2">
      <c r="A839" s="249">
        <v>7674</v>
      </c>
      <c r="B839" s="250">
        <v>9111434</v>
      </c>
      <c r="C839" s="251" t="s">
        <v>1453</v>
      </c>
      <c r="D839" s="251" t="s">
        <v>87</v>
      </c>
      <c r="E839" s="251"/>
      <c r="F839" s="252" t="s">
        <v>43</v>
      </c>
      <c r="G839" s="253" t="s">
        <v>44</v>
      </c>
      <c r="H839" s="254">
        <v>0</v>
      </c>
      <c r="I839" s="251" t="s">
        <v>1444</v>
      </c>
      <c r="J839" s="251" t="s">
        <v>1358</v>
      </c>
      <c r="K839" s="255" t="s">
        <v>27</v>
      </c>
    </row>
    <row r="840" spans="1:17" ht="12.75" customHeight="1" x14ac:dyDescent="0.2">
      <c r="A840" s="249">
        <v>38356</v>
      </c>
      <c r="B840" s="250" t="s">
        <v>1454</v>
      </c>
      <c r="C840" s="251" t="s">
        <v>1455</v>
      </c>
      <c r="D840" s="251" t="s">
        <v>411</v>
      </c>
      <c r="E840" s="251"/>
      <c r="F840" s="252" t="s">
        <v>49</v>
      </c>
      <c r="G840" s="284" t="s">
        <v>79</v>
      </c>
      <c r="H840" s="285" t="s">
        <v>45</v>
      </c>
      <c r="I840" s="251" t="s">
        <v>1444</v>
      </c>
      <c r="J840" s="251" t="s">
        <v>1358</v>
      </c>
      <c r="K840" s="255" t="s">
        <v>27</v>
      </c>
      <c r="L840" s="281"/>
      <c r="M840" s="281"/>
      <c r="N840" s="281"/>
      <c r="Q840" s="283"/>
    </row>
    <row r="841" spans="1:17" ht="12.75" customHeight="1" x14ac:dyDescent="0.2">
      <c r="A841" s="249">
        <v>3234</v>
      </c>
      <c r="B841" s="250" t="s">
        <v>2508</v>
      </c>
      <c r="C841" s="257" t="s">
        <v>69</v>
      </c>
      <c r="D841" s="257" t="s">
        <v>238</v>
      </c>
      <c r="E841" s="257" t="s">
        <v>2374</v>
      </c>
      <c r="F841" s="252" t="s">
        <v>43</v>
      </c>
      <c r="G841" s="253" t="s">
        <v>52</v>
      </c>
      <c r="H841" s="254" t="s">
        <v>51</v>
      </c>
      <c r="I841" s="257" t="s">
        <v>1444</v>
      </c>
      <c r="J841" s="257" t="s">
        <v>1358</v>
      </c>
      <c r="K841" s="255" t="s">
        <v>27</v>
      </c>
    </row>
    <row r="842" spans="1:17" ht="12.75" customHeight="1" x14ac:dyDescent="0.2">
      <c r="A842" s="249">
        <v>3233</v>
      </c>
      <c r="B842" s="250" t="s">
        <v>2509</v>
      </c>
      <c r="C842" s="257" t="s">
        <v>69</v>
      </c>
      <c r="D842" s="257" t="s">
        <v>1440</v>
      </c>
      <c r="E842" s="257" t="s">
        <v>2374</v>
      </c>
      <c r="F842" s="252" t="s">
        <v>49</v>
      </c>
      <c r="G842" s="253" t="s">
        <v>50</v>
      </c>
      <c r="H842" s="254" t="s">
        <v>45</v>
      </c>
      <c r="I842" s="257" t="s">
        <v>1444</v>
      </c>
      <c r="J842" s="257" t="s">
        <v>1358</v>
      </c>
      <c r="K842" s="255" t="s">
        <v>27</v>
      </c>
    </row>
    <row r="843" spans="1:17" ht="12.75" customHeight="1" x14ac:dyDescent="0.2">
      <c r="A843" s="249">
        <v>38547</v>
      </c>
      <c r="B843" s="250" t="s">
        <v>1456</v>
      </c>
      <c r="C843" s="257" t="s">
        <v>1457</v>
      </c>
      <c r="D843" s="257" t="s">
        <v>1458</v>
      </c>
      <c r="E843" s="257" t="s">
        <v>2374</v>
      </c>
      <c r="F843" s="252" t="s">
        <v>43</v>
      </c>
      <c r="G843" s="284" t="s">
        <v>67</v>
      </c>
      <c r="H843" s="285" t="s">
        <v>45</v>
      </c>
      <c r="I843" s="257" t="s">
        <v>1444</v>
      </c>
      <c r="J843" s="257" t="s">
        <v>1358</v>
      </c>
      <c r="K843" s="255" t="s">
        <v>27</v>
      </c>
    </row>
    <row r="844" spans="1:17" ht="12.75" customHeight="1" x14ac:dyDescent="0.2">
      <c r="A844" s="249">
        <v>25828</v>
      </c>
      <c r="B844" s="250" t="s">
        <v>2296</v>
      </c>
      <c r="C844" s="251" t="s">
        <v>1459</v>
      </c>
      <c r="D844" s="251" t="s">
        <v>381</v>
      </c>
      <c r="E844" s="251"/>
      <c r="F844" s="252" t="s">
        <v>43</v>
      </c>
      <c r="G844" s="284" t="s">
        <v>44</v>
      </c>
      <c r="H844" s="285" t="s">
        <v>66</v>
      </c>
      <c r="I844" s="251" t="s">
        <v>1444</v>
      </c>
      <c r="J844" s="251" t="s">
        <v>1358</v>
      </c>
      <c r="K844" s="255" t="s">
        <v>27</v>
      </c>
    </row>
    <row r="845" spans="1:17" ht="12.75" customHeight="1" x14ac:dyDescent="0.2">
      <c r="A845" s="249">
        <v>38743</v>
      </c>
      <c r="B845" s="250" t="s">
        <v>2510</v>
      </c>
      <c r="C845" s="257" t="s">
        <v>295</v>
      </c>
      <c r="D845" s="257" t="s">
        <v>2511</v>
      </c>
      <c r="E845" s="257" t="s">
        <v>2374</v>
      </c>
      <c r="F845" s="252" t="s">
        <v>49</v>
      </c>
      <c r="G845" s="253" t="s">
        <v>79</v>
      </c>
      <c r="H845" s="254">
        <v>0</v>
      </c>
      <c r="I845" s="257" t="s">
        <v>1444</v>
      </c>
      <c r="J845" s="257" t="s">
        <v>1358</v>
      </c>
      <c r="K845" s="255" t="s">
        <v>27</v>
      </c>
    </row>
    <row r="846" spans="1:17" ht="12.75" customHeight="1" x14ac:dyDescent="0.2">
      <c r="A846" s="249">
        <v>7666</v>
      </c>
      <c r="B846" s="250" t="s">
        <v>1460</v>
      </c>
      <c r="C846" s="251" t="s">
        <v>1461</v>
      </c>
      <c r="D846" s="251" t="s">
        <v>80</v>
      </c>
      <c r="E846" s="251"/>
      <c r="F846" s="252" t="s">
        <v>43</v>
      </c>
      <c r="G846" s="284" t="s">
        <v>58</v>
      </c>
      <c r="H846" s="285" t="s">
        <v>45</v>
      </c>
      <c r="I846" s="251" t="s">
        <v>1462</v>
      </c>
      <c r="J846" s="251" t="s">
        <v>1358</v>
      </c>
      <c r="K846" s="255" t="s">
        <v>27</v>
      </c>
    </row>
    <row r="847" spans="1:17" ht="12.75" customHeight="1" x14ac:dyDescent="0.2">
      <c r="A847" s="249">
        <v>25192</v>
      </c>
      <c r="B847" s="250" t="s">
        <v>1463</v>
      </c>
      <c r="C847" s="251" t="s">
        <v>1040</v>
      </c>
      <c r="D847" s="251" t="s">
        <v>1464</v>
      </c>
      <c r="E847" s="251"/>
      <c r="F847" s="252" t="s">
        <v>49</v>
      </c>
      <c r="G847" s="284" t="s">
        <v>79</v>
      </c>
      <c r="H847" s="285" t="s">
        <v>66</v>
      </c>
      <c r="I847" s="251" t="s">
        <v>1462</v>
      </c>
      <c r="J847" s="251" t="s">
        <v>1358</v>
      </c>
      <c r="K847" s="255" t="s">
        <v>27</v>
      </c>
    </row>
    <row r="848" spans="1:17" ht="12.75" customHeight="1" x14ac:dyDescent="0.2">
      <c r="A848" s="249">
        <v>16804</v>
      </c>
      <c r="B848" s="250" t="s">
        <v>1465</v>
      </c>
      <c r="C848" s="251" t="s">
        <v>1466</v>
      </c>
      <c r="D848" s="251" t="s">
        <v>226</v>
      </c>
      <c r="E848" s="251"/>
      <c r="F848" s="252" t="s">
        <v>49</v>
      </c>
      <c r="G848" s="284" t="s">
        <v>50</v>
      </c>
      <c r="H848" s="285" t="s">
        <v>66</v>
      </c>
      <c r="I848" s="251" t="s">
        <v>1462</v>
      </c>
      <c r="J848" s="251" t="s">
        <v>1358</v>
      </c>
      <c r="K848" s="255" t="s">
        <v>27</v>
      </c>
    </row>
    <row r="849" spans="1:17" ht="12.75" customHeight="1" x14ac:dyDescent="0.2">
      <c r="A849" s="249">
        <v>38738</v>
      </c>
      <c r="B849" s="250" t="s">
        <v>1996</v>
      </c>
      <c r="C849" s="251" t="s">
        <v>1997</v>
      </c>
      <c r="D849" s="251" t="s">
        <v>107</v>
      </c>
      <c r="E849" s="251"/>
      <c r="F849" s="252" t="s">
        <v>43</v>
      </c>
      <c r="G849" s="284" t="s">
        <v>52</v>
      </c>
      <c r="H849" s="285" t="s">
        <v>45</v>
      </c>
      <c r="I849" s="251" t="s">
        <v>1462</v>
      </c>
      <c r="J849" s="251" t="s">
        <v>1358</v>
      </c>
      <c r="K849" s="255" t="s">
        <v>27</v>
      </c>
      <c r="L849" s="281"/>
      <c r="M849" s="281"/>
      <c r="N849" s="281"/>
      <c r="Q849" s="283"/>
    </row>
    <row r="850" spans="1:17" ht="12.75" customHeight="1" x14ac:dyDescent="0.2">
      <c r="A850" s="249">
        <v>38737</v>
      </c>
      <c r="B850" s="250" t="s">
        <v>1998</v>
      </c>
      <c r="C850" s="251" t="s">
        <v>1997</v>
      </c>
      <c r="D850" s="251" t="s">
        <v>1259</v>
      </c>
      <c r="E850" s="251"/>
      <c r="F850" s="252" t="s">
        <v>49</v>
      </c>
      <c r="G850" s="284" t="s">
        <v>139</v>
      </c>
      <c r="H850" s="285" t="s">
        <v>51</v>
      </c>
      <c r="I850" s="251" t="s">
        <v>1462</v>
      </c>
      <c r="J850" s="251" t="s">
        <v>1358</v>
      </c>
      <c r="K850" s="255" t="s">
        <v>27</v>
      </c>
    </row>
    <row r="851" spans="1:17" ht="12.75" customHeight="1" x14ac:dyDescent="0.2">
      <c r="A851" s="249">
        <v>38050</v>
      </c>
      <c r="B851" s="250" t="s">
        <v>1467</v>
      </c>
      <c r="C851" s="251" t="s">
        <v>566</v>
      </c>
      <c r="D851" s="251" t="s">
        <v>1468</v>
      </c>
      <c r="E851" s="251"/>
      <c r="F851" s="252" t="s">
        <v>43</v>
      </c>
      <c r="G851" s="284" t="s">
        <v>44</v>
      </c>
      <c r="H851" s="285" t="s">
        <v>180</v>
      </c>
      <c r="I851" s="251" t="s">
        <v>1462</v>
      </c>
      <c r="J851" s="251" t="s">
        <v>1358</v>
      </c>
      <c r="K851" s="255" t="s">
        <v>27</v>
      </c>
    </row>
    <row r="852" spans="1:17" ht="12.75" customHeight="1" x14ac:dyDescent="0.2">
      <c r="A852" s="249">
        <v>7082</v>
      </c>
      <c r="B852" s="250" t="s">
        <v>954</v>
      </c>
      <c r="C852" s="251" t="s">
        <v>955</v>
      </c>
      <c r="D852" s="251" t="s">
        <v>956</v>
      </c>
      <c r="E852" s="251"/>
      <c r="F852" s="252" t="s">
        <v>49</v>
      </c>
      <c r="G852" s="284" t="s">
        <v>228</v>
      </c>
      <c r="H852" s="285" t="s">
        <v>51</v>
      </c>
      <c r="I852" s="251" t="s">
        <v>1462</v>
      </c>
      <c r="J852" s="251" t="s">
        <v>1358</v>
      </c>
      <c r="K852" s="255" t="s">
        <v>27</v>
      </c>
    </row>
    <row r="853" spans="1:17" ht="12.75" customHeight="1" x14ac:dyDescent="0.2">
      <c r="A853" s="249">
        <v>25390</v>
      </c>
      <c r="B853" s="250" t="s">
        <v>2228</v>
      </c>
      <c r="C853" s="251" t="s">
        <v>955</v>
      </c>
      <c r="D853" s="251" t="s">
        <v>73</v>
      </c>
      <c r="E853" s="251"/>
      <c r="F853" s="252" t="s">
        <v>43</v>
      </c>
      <c r="G853" s="284" t="s">
        <v>52</v>
      </c>
      <c r="H853" s="285" t="s">
        <v>51</v>
      </c>
      <c r="I853" s="251" t="s">
        <v>1462</v>
      </c>
      <c r="J853" s="251" t="s">
        <v>1358</v>
      </c>
      <c r="K853" s="255" t="s">
        <v>27</v>
      </c>
    </row>
    <row r="854" spans="1:17" ht="12.75" customHeight="1" x14ac:dyDescent="0.2">
      <c r="A854" s="249">
        <v>16270</v>
      </c>
      <c r="B854" s="250" t="s">
        <v>2512</v>
      </c>
      <c r="C854" s="251" t="s">
        <v>2513</v>
      </c>
      <c r="D854" s="251" t="s">
        <v>99</v>
      </c>
      <c r="E854" s="251"/>
      <c r="F854" s="252" t="s">
        <v>43</v>
      </c>
      <c r="G854" s="260" t="s">
        <v>52</v>
      </c>
      <c r="H854" s="261">
        <v>0</v>
      </c>
      <c r="I854" s="251" t="s">
        <v>1462</v>
      </c>
      <c r="J854" s="251" t="s">
        <v>1358</v>
      </c>
      <c r="K854" s="255" t="s">
        <v>27</v>
      </c>
      <c r="L854" s="281"/>
      <c r="M854" s="281"/>
      <c r="N854" s="281"/>
      <c r="Q854" s="283"/>
    </row>
    <row r="855" spans="1:17" ht="12.75" customHeight="1" x14ac:dyDescent="0.2">
      <c r="A855" s="249">
        <v>16807</v>
      </c>
      <c r="B855" s="250" t="s">
        <v>1469</v>
      </c>
      <c r="C855" s="251" t="s">
        <v>1470</v>
      </c>
      <c r="D855" s="251" t="s">
        <v>580</v>
      </c>
      <c r="E855" s="251"/>
      <c r="F855" s="252" t="s">
        <v>43</v>
      </c>
      <c r="G855" s="284" t="s">
        <v>58</v>
      </c>
      <c r="H855" s="285" t="s">
        <v>45</v>
      </c>
      <c r="I855" s="251" t="s">
        <v>1462</v>
      </c>
      <c r="J855" s="251" t="s">
        <v>1358</v>
      </c>
      <c r="K855" s="255" t="s">
        <v>27</v>
      </c>
      <c r="L855" s="281"/>
      <c r="M855" s="281"/>
      <c r="N855" s="281"/>
      <c r="Q855" s="283"/>
    </row>
    <row r="856" spans="1:17" ht="12.75" customHeight="1" x14ac:dyDescent="0.2">
      <c r="A856" s="249">
        <v>7662</v>
      </c>
      <c r="B856" s="250" t="s">
        <v>1471</v>
      </c>
      <c r="C856" s="251" t="s">
        <v>1472</v>
      </c>
      <c r="D856" s="251" t="s">
        <v>1473</v>
      </c>
      <c r="E856" s="251"/>
      <c r="F856" s="252" t="s">
        <v>43</v>
      </c>
      <c r="G856" s="253" t="s">
        <v>58</v>
      </c>
      <c r="H856" s="254">
        <v>0</v>
      </c>
      <c r="I856" s="251" t="s">
        <v>1462</v>
      </c>
      <c r="J856" s="251" t="s">
        <v>1358</v>
      </c>
      <c r="K856" s="255" t="s">
        <v>27</v>
      </c>
    </row>
    <row r="857" spans="1:17" ht="12.75" customHeight="1" x14ac:dyDescent="0.2">
      <c r="A857" s="249">
        <v>7412</v>
      </c>
      <c r="B857" s="250" t="s">
        <v>1474</v>
      </c>
      <c r="C857" s="251" t="s">
        <v>1475</v>
      </c>
      <c r="D857" s="251" t="s">
        <v>179</v>
      </c>
      <c r="E857" s="251"/>
      <c r="F857" s="252" t="s">
        <v>43</v>
      </c>
      <c r="G857" s="284" t="s">
        <v>52</v>
      </c>
      <c r="H857" s="285" t="s">
        <v>66</v>
      </c>
      <c r="I857" s="251" t="s">
        <v>1462</v>
      </c>
      <c r="J857" s="251" t="s">
        <v>1358</v>
      </c>
      <c r="K857" s="255" t="s">
        <v>27</v>
      </c>
    </row>
    <row r="858" spans="1:17" ht="12.75" customHeight="1" x14ac:dyDescent="0.2">
      <c r="A858" s="249">
        <v>25409</v>
      </c>
      <c r="B858" s="250" t="s">
        <v>2229</v>
      </c>
      <c r="C858" s="257" t="s">
        <v>1476</v>
      </c>
      <c r="D858" s="257" t="s">
        <v>987</v>
      </c>
      <c r="E858" s="257" t="s">
        <v>2374</v>
      </c>
      <c r="F858" s="252" t="s">
        <v>43</v>
      </c>
      <c r="G858" s="284" t="s">
        <v>58</v>
      </c>
      <c r="H858" s="285" t="s">
        <v>51</v>
      </c>
      <c r="I858" s="257" t="s">
        <v>1462</v>
      </c>
      <c r="J858" s="257" t="s">
        <v>1358</v>
      </c>
      <c r="K858" s="255" t="s">
        <v>27</v>
      </c>
    </row>
    <row r="859" spans="1:17" ht="12.75" customHeight="1" x14ac:dyDescent="0.2">
      <c r="A859" s="249">
        <v>38061</v>
      </c>
      <c r="B859" s="250" t="s">
        <v>1478</v>
      </c>
      <c r="C859" s="251" t="s">
        <v>1264</v>
      </c>
      <c r="D859" s="251" t="s">
        <v>1479</v>
      </c>
      <c r="E859" s="251"/>
      <c r="F859" s="252" t="s">
        <v>49</v>
      </c>
      <c r="G859" s="284" t="s">
        <v>79</v>
      </c>
      <c r="H859" s="285" t="s">
        <v>45</v>
      </c>
      <c r="I859" s="251" t="s">
        <v>1462</v>
      </c>
      <c r="J859" s="251" t="s">
        <v>1358</v>
      </c>
      <c r="K859" s="255" t="s">
        <v>27</v>
      </c>
    </row>
    <row r="860" spans="1:17" ht="12.75" customHeight="1" x14ac:dyDescent="0.2">
      <c r="A860" s="249">
        <v>25906</v>
      </c>
      <c r="B860" s="250" t="s">
        <v>1330</v>
      </c>
      <c r="C860" s="251" t="s">
        <v>1331</v>
      </c>
      <c r="D860" s="251" t="s">
        <v>64</v>
      </c>
      <c r="E860" s="251"/>
      <c r="F860" s="252" t="s">
        <v>43</v>
      </c>
      <c r="G860" s="284" t="s">
        <v>44</v>
      </c>
      <c r="H860" s="285" t="s">
        <v>66</v>
      </c>
      <c r="I860" s="251" t="s">
        <v>1462</v>
      </c>
      <c r="J860" s="251" t="s">
        <v>1358</v>
      </c>
      <c r="K860" s="255" t="s">
        <v>27</v>
      </c>
      <c r="L860" s="281"/>
      <c r="M860" s="281"/>
      <c r="N860" s="281"/>
      <c r="Q860" s="283"/>
    </row>
    <row r="861" spans="1:17" ht="12.75" customHeight="1" x14ac:dyDescent="0.2">
      <c r="A861" s="249">
        <v>7549</v>
      </c>
      <c r="B861" s="250" t="s">
        <v>1481</v>
      </c>
      <c r="C861" s="251" t="s">
        <v>1482</v>
      </c>
      <c r="D861" s="251" t="s">
        <v>934</v>
      </c>
      <c r="E861" s="251"/>
      <c r="F861" s="252" t="s">
        <v>49</v>
      </c>
      <c r="G861" s="284" t="s">
        <v>50</v>
      </c>
      <c r="H861" s="285" t="s">
        <v>180</v>
      </c>
      <c r="I861" s="251" t="s">
        <v>1462</v>
      </c>
      <c r="J861" s="251" t="s">
        <v>1358</v>
      </c>
      <c r="K861" s="255" t="s">
        <v>27</v>
      </c>
      <c r="L861" s="281"/>
      <c r="M861" s="281"/>
      <c r="N861" s="281"/>
      <c r="Q861" s="283"/>
    </row>
    <row r="862" spans="1:17" ht="12.75" customHeight="1" x14ac:dyDescent="0.2">
      <c r="A862" s="249">
        <v>38610</v>
      </c>
      <c r="B862" s="250" t="s">
        <v>1483</v>
      </c>
      <c r="C862" s="251" t="s">
        <v>809</v>
      </c>
      <c r="D862" s="251" t="s">
        <v>125</v>
      </c>
      <c r="E862" s="251"/>
      <c r="F862" s="252" t="s">
        <v>43</v>
      </c>
      <c r="G862" s="284" t="s">
        <v>67</v>
      </c>
      <c r="H862" s="285" t="s">
        <v>51</v>
      </c>
      <c r="I862" s="251" t="s">
        <v>1462</v>
      </c>
      <c r="J862" s="251" t="s">
        <v>1358</v>
      </c>
      <c r="K862" s="255" t="s">
        <v>27</v>
      </c>
      <c r="L862" s="281"/>
      <c r="M862" s="281"/>
      <c r="N862" s="281"/>
      <c r="Q862" s="283"/>
    </row>
    <row r="863" spans="1:17" ht="12.75" customHeight="1" x14ac:dyDescent="0.2">
      <c r="A863" s="249">
        <v>7676</v>
      </c>
      <c r="B863" s="250" t="s">
        <v>1484</v>
      </c>
      <c r="C863" s="251" t="s">
        <v>1485</v>
      </c>
      <c r="D863" s="251" t="s">
        <v>308</v>
      </c>
      <c r="E863" s="251"/>
      <c r="F863" s="252" t="s">
        <v>49</v>
      </c>
      <c r="G863" s="284" t="s">
        <v>228</v>
      </c>
      <c r="H863" s="285" t="s">
        <v>51</v>
      </c>
      <c r="I863" s="251" t="s">
        <v>1462</v>
      </c>
      <c r="J863" s="251" t="s">
        <v>1358</v>
      </c>
      <c r="K863" s="255" t="s">
        <v>27</v>
      </c>
    </row>
    <row r="864" spans="1:17" ht="12.75" customHeight="1" x14ac:dyDescent="0.2">
      <c r="A864" s="249">
        <v>7668</v>
      </c>
      <c r="B864" s="250" t="s">
        <v>1486</v>
      </c>
      <c r="C864" s="251" t="s">
        <v>1485</v>
      </c>
      <c r="D864" s="251" t="s">
        <v>73</v>
      </c>
      <c r="E864" s="251"/>
      <c r="F864" s="252" t="s">
        <v>43</v>
      </c>
      <c r="G864" s="284" t="s">
        <v>58</v>
      </c>
      <c r="H864" s="285" t="s">
        <v>51</v>
      </c>
      <c r="I864" s="251" t="s">
        <v>1462</v>
      </c>
      <c r="J864" s="251" t="s">
        <v>1358</v>
      </c>
      <c r="K864" s="255" t="s">
        <v>27</v>
      </c>
    </row>
    <row r="865" spans="1:11" ht="12.75" customHeight="1" x14ac:dyDescent="0.2">
      <c r="A865" s="249">
        <v>7534</v>
      </c>
      <c r="B865" s="250" t="s">
        <v>1487</v>
      </c>
      <c r="C865" s="251" t="s">
        <v>1488</v>
      </c>
      <c r="D865" s="251" t="s">
        <v>138</v>
      </c>
      <c r="E865" s="251"/>
      <c r="F865" s="252" t="s">
        <v>49</v>
      </c>
      <c r="G865" s="284" t="s">
        <v>139</v>
      </c>
      <c r="H865" s="285" t="s">
        <v>66</v>
      </c>
      <c r="I865" s="251" t="s">
        <v>1462</v>
      </c>
      <c r="J865" s="251" t="s">
        <v>1358</v>
      </c>
      <c r="K865" s="255" t="s">
        <v>27</v>
      </c>
    </row>
    <row r="866" spans="1:11" ht="12.75" customHeight="1" x14ac:dyDescent="0.2">
      <c r="A866" s="249">
        <v>7080</v>
      </c>
      <c r="B866" s="250" t="s">
        <v>957</v>
      </c>
      <c r="C866" s="251" t="s">
        <v>958</v>
      </c>
      <c r="D866" s="251" t="s">
        <v>184</v>
      </c>
      <c r="E866" s="251"/>
      <c r="F866" s="252" t="s">
        <v>43</v>
      </c>
      <c r="G866" s="284" t="s">
        <v>67</v>
      </c>
      <c r="H866" s="285" t="s">
        <v>66</v>
      </c>
      <c r="I866" s="251" t="s">
        <v>1462</v>
      </c>
      <c r="J866" s="251" t="s">
        <v>1358</v>
      </c>
      <c r="K866" s="255" t="s">
        <v>27</v>
      </c>
    </row>
    <row r="867" spans="1:11" ht="12.75" customHeight="1" x14ac:dyDescent="0.2">
      <c r="A867" s="249">
        <v>16405</v>
      </c>
      <c r="B867" s="250" t="s">
        <v>2316</v>
      </c>
      <c r="C867" s="251" t="s">
        <v>1489</v>
      </c>
      <c r="D867" s="251" t="s">
        <v>315</v>
      </c>
      <c r="E867" s="251"/>
      <c r="F867" s="252" t="s">
        <v>43</v>
      </c>
      <c r="G867" s="284" t="s">
        <v>52</v>
      </c>
      <c r="H867" s="285" t="s">
        <v>66</v>
      </c>
      <c r="I867" s="251" t="s">
        <v>1462</v>
      </c>
      <c r="J867" s="251" t="s">
        <v>1358</v>
      </c>
      <c r="K867" s="255" t="s">
        <v>27</v>
      </c>
    </row>
    <row r="868" spans="1:11" ht="12.75" customHeight="1" x14ac:dyDescent="0.2">
      <c r="A868" s="249">
        <v>16700</v>
      </c>
      <c r="B868" s="250" t="s">
        <v>959</v>
      </c>
      <c r="C868" s="251" t="s">
        <v>960</v>
      </c>
      <c r="D868" s="251" t="s">
        <v>961</v>
      </c>
      <c r="E868" s="251"/>
      <c r="F868" s="252" t="s">
        <v>49</v>
      </c>
      <c r="G868" s="284" t="s">
        <v>50</v>
      </c>
      <c r="H868" s="285" t="s">
        <v>51</v>
      </c>
      <c r="I868" s="251" t="s">
        <v>1462</v>
      </c>
      <c r="J868" s="251" t="s">
        <v>1358</v>
      </c>
      <c r="K868" s="255" t="s">
        <v>27</v>
      </c>
    </row>
    <row r="869" spans="1:11" ht="12.75" customHeight="1" x14ac:dyDescent="0.2">
      <c r="A869" s="249">
        <v>38113</v>
      </c>
      <c r="B869" s="250" t="s">
        <v>1490</v>
      </c>
      <c r="C869" s="251" t="s">
        <v>1491</v>
      </c>
      <c r="D869" s="251" t="s">
        <v>1492</v>
      </c>
      <c r="E869" s="251"/>
      <c r="F869" s="252" t="s">
        <v>43</v>
      </c>
      <c r="G869" s="284" t="s">
        <v>67</v>
      </c>
      <c r="H869" s="285" t="s">
        <v>45</v>
      </c>
      <c r="I869" s="251" t="s">
        <v>1462</v>
      </c>
      <c r="J869" s="251" t="s">
        <v>1358</v>
      </c>
      <c r="K869" s="255" t="s">
        <v>27</v>
      </c>
    </row>
    <row r="870" spans="1:11" ht="12.75" customHeight="1" x14ac:dyDescent="0.2">
      <c r="A870" s="249">
        <v>7978</v>
      </c>
      <c r="B870" s="250">
        <v>9070269</v>
      </c>
      <c r="C870" s="251" t="s">
        <v>1493</v>
      </c>
      <c r="D870" s="251" t="s">
        <v>1494</v>
      </c>
      <c r="E870" s="251"/>
      <c r="F870" s="252" t="s">
        <v>49</v>
      </c>
      <c r="G870" s="284" t="s">
        <v>50</v>
      </c>
      <c r="H870" s="285" t="s">
        <v>180</v>
      </c>
      <c r="I870" s="251" t="s">
        <v>1462</v>
      </c>
      <c r="J870" s="251" t="s">
        <v>1358</v>
      </c>
      <c r="K870" s="255" t="s">
        <v>27</v>
      </c>
    </row>
    <row r="871" spans="1:11" ht="12.75" customHeight="1" x14ac:dyDescent="0.2">
      <c r="A871" s="249">
        <v>16572</v>
      </c>
      <c r="B871" s="250" t="s">
        <v>1495</v>
      </c>
      <c r="C871" s="251" t="s">
        <v>192</v>
      </c>
      <c r="D871" s="251" t="s">
        <v>1071</v>
      </c>
      <c r="E871" s="251"/>
      <c r="F871" s="252" t="s">
        <v>43</v>
      </c>
      <c r="G871" s="253" t="s">
        <v>52</v>
      </c>
      <c r="H871" s="254">
        <v>0</v>
      </c>
      <c r="I871" s="251" t="s">
        <v>1462</v>
      </c>
      <c r="J871" s="251" t="s">
        <v>1358</v>
      </c>
      <c r="K871" s="255" t="s">
        <v>27</v>
      </c>
    </row>
    <row r="872" spans="1:11" ht="12.75" customHeight="1" x14ac:dyDescent="0.2">
      <c r="A872" s="249">
        <v>25714</v>
      </c>
      <c r="B872" s="250" t="s">
        <v>2230</v>
      </c>
      <c r="C872" s="251" t="s">
        <v>1406</v>
      </c>
      <c r="D872" s="251" t="s">
        <v>1496</v>
      </c>
      <c r="E872" s="251"/>
      <c r="F872" s="252" t="s">
        <v>49</v>
      </c>
      <c r="G872" s="284" t="s">
        <v>79</v>
      </c>
      <c r="H872" s="285" t="s">
        <v>180</v>
      </c>
      <c r="I872" s="251" t="s">
        <v>1462</v>
      </c>
      <c r="J872" s="251" t="s">
        <v>1358</v>
      </c>
      <c r="K872" s="255" t="s">
        <v>27</v>
      </c>
    </row>
    <row r="873" spans="1:11" ht="12.75" customHeight="1" x14ac:dyDescent="0.2">
      <c r="A873" s="249">
        <v>7072</v>
      </c>
      <c r="B873" s="250" t="s">
        <v>962</v>
      </c>
      <c r="C873" s="251" t="s">
        <v>963</v>
      </c>
      <c r="D873" s="251" t="s">
        <v>653</v>
      </c>
      <c r="E873" s="251"/>
      <c r="F873" s="252" t="s">
        <v>43</v>
      </c>
      <c r="G873" s="284" t="s">
        <v>58</v>
      </c>
      <c r="H873" s="285" t="s">
        <v>51</v>
      </c>
      <c r="I873" s="251" t="s">
        <v>1462</v>
      </c>
      <c r="J873" s="251" t="s">
        <v>1358</v>
      </c>
      <c r="K873" s="255" t="s">
        <v>27</v>
      </c>
    </row>
    <row r="874" spans="1:11" ht="12.75" customHeight="1" x14ac:dyDescent="0.2">
      <c r="A874" s="249">
        <v>38131</v>
      </c>
      <c r="B874" s="250" t="s">
        <v>1498</v>
      </c>
      <c r="C874" s="251" t="s">
        <v>1499</v>
      </c>
      <c r="D874" s="251" t="s">
        <v>99</v>
      </c>
      <c r="E874" s="251"/>
      <c r="F874" s="252" t="s">
        <v>43</v>
      </c>
      <c r="G874" s="284" t="s">
        <v>44</v>
      </c>
      <c r="H874" s="285" t="s">
        <v>45</v>
      </c>
      <c r="I874" s="251" t="s">
        <v>1462</v>
      </c>
      <c r="J874" s="251" t="s">
        <v>1358</v>
      </c>
      <c r="K874" s="255" t="s">
        <v>27</v>
      </c>
    </row>
    <row r="875" spans="1:11" ht="12.75" customHeight="1" x14ac:dyDescent="0.2">
      <c r="A875" s="249">
        <v>7752</v>
      </c>
      <c r="B875" s="250" t="s">
        <v>1500</v>
      </c>
      <c r="C875" s="257" t="s">
        <v>1501</v>
      </c>
      <c r="D875" s="257" t="s">
        <v>866</v>
      </c>
      <c r="E875" s="257" t="s">
        <v>2374</v>
      </c>
      <c r="F875" s="252" t="s">
        <v>49</v>
      </c>
      <c r="G875" s="284" t="s">
        <v>228</v>
      </c>
      <c r="H875" s="285" t="s">
        <v>45</v>
      </c>
      <c r="I875" s="257" t="s">
        <v>1462</v>
      </c>
      <c r="J875" s="257" t="s">
        <v>1358</v>
      </c>
      <c r="K875" s="255" t="s">
        <v>27</v>
      </c>
    </row>
    <row r="876" spans="1:11" ht="12.75" customHeight="1" x14ac:dyDescent="0.2">
      <c r="A876" s="249">
        <v>25397</v>
      </c>
      <c r="B876" s="250" t="s">
        <v>1995</v>
      </c>
      <c r="C876" s="257" t="s">
        <v>1276</v>
      </c>
      <c r="D876" s="257" t="s">
        <v>1277</v>
      </c>
      <c r="E876" s="257" t="s">
        <v>2374</v>
      </c>
      <c r="F876" s="252" t="s">
        <v>49</v>
      </c>
      <c r="G876" s="284" t="s">
        <v>79</v>
      </c>
      <c r="H876" s="285" t="s">
        <v>45</v>
      </c>
      <c r="I876" s="257" t="s">
        <v>1462</v>
      </c>
      <c r="J876" s="257" t="s">
        <v>1358</v>
      </c>
      <c r="K876" s="255" t="s">
        <v>27</v>
      </c>
    </row>
    <row r="877" spans="1:11" ht="12.75" customHeight="1" x14ac:dyDescent="0.2">
      <c r="A877" s="249">
        <v>16029</v>
      </c>
      <c r="B877" s="250" t="s">
        <v>1502</v>
      </c>
      <c r="C877" s="251" t="s">
        <v>1254</v>
      </c>
      <c r="D877" s="251" t="s">
        <v>1503</v>
      </c>
      <c r="E877" s="251"/>
      <c r="F877" s="252" t="s">
        <v>49</v>
      </c>
      <c r="G877" s="284" t="s">
        <v>228</v>
      </c>
      <c r="H877" s="285" t="s">
        <v>51</v>
      </c>
      <c r="I877" s="251" t="s">
        <v>1462</v>
      </c>
      <c r="J877" s="251" t="s">
        <v>1358</v>
      </c>
      <c r="K877" s="255" t="s">
        <v>27</v>
      </c>
    </row>
    <row r="878" spans="1:11" ht="12.75" customHeight="1" x14ac:dyDescent="0.2">
      <c r="A878" s="249">
        <v>7669</v>
      </c>
      <c r="B878" s="250" t="s">
        <v>1504</v>
      </c>
      <c r="C878" s="251" t="s">
        <v>1278</v>
      </c>
      <c r="D878" s="251" t="s">
        <v>550</v>
      </c>
      <c r="E878" s="251"/>
      <c r="F878" s="252" t="s">
        <v>43</v>
      </c>
      <c r="G878" s="284" t="s">
        <v>52</v>
      </c>
      <c r="H878" s="285"/>
      <c r="I878" s="251" t="s">
        <v>1462</v>
      </c>
      <c r="J878" s="251" t="s">
        <v>1358</v>
      </c>
      <c r="K878" s="255" t="s">
        <v>27</v>
      </c>
    </row>
    <row r="879" spans="1:11" ht="12.75" customHeight="1" x14ac:dyDescent="0.2">
      <c r="A879" s="249">
        <v>7635</v>
      </c>
      <c r="B879" s="250" t="s">
        <v>1505</v>
      </c>
      <c r="C879" s="251" t="s">
        <v>1506</v>
      </c>
      <c r="D879" s="251" t="s">
        <v>179</v>
      </c>
      <c r="E879" s="251"/>
      <c r="F879" s="252" t="s">
        <v>43</v>
      </c>
      <c r="G879" s="260" t="s">
        <v>58</v>
      </c>
      <c r="H879" s="261">
        <v>0</v>
      </c>
      <c r="I879" s="251" t="s">
        <v>1507</v>
      </c>
      <c r="J879" s="251" t="s">
        <v>1358</v>
      </c>
      <c r="K879" s="255" t="s">
        <v>27</v>
      </c>
    </row>
    <row r="880" spans="1:11" ht="12.75" customHeight="1" x14ac:dyDescent="0.2">
      <c r="A880" s="290">
        <v>7502</v>
      </c>
      <c r="B880" s="291" t="s">
        <v>2514</v>
      </c>
      <c r="C880" s="292" t="s">
        <v>2515</v>
      </c>
      <c r="D880" s="292" t="s">
        <v>99</v>
      </c>
      <c r="E880" s="292"/>
      <c r="F880" s="293" t="s">
        <v>43</v>
      </c>
      <c r="G880" s="284" t="s">
        <v>67</v>
      </c>
      <c r="H880" s="294">
        <v>0</v>
      </c>
      <c r="I880" s="292" t="s">
        <v>1507</v>
      </c>
      <c r="J880" s="292" t="s">
        <v>1358</v>
      </c>
      <c r="K880" s="255" t="s">
        <v>27</v>
      </c>
    </row>
    <row r="881" spans="1:17" ht="12.75" customHeight="1" x14ac:dyDescent="0.2">
      <c r="A881" s="249">
        <v>16710</v>
      </c>
      <c r="B881" s="250" t="s">
        <v>1508</v>
      </c>
      <c r="C881" s="251" t="s">
        <v>1509</v>
      </c>
      <c r="D881" s="251" t="s">
        <v>315</v>
      </c>
      <c r="E881" s="251"/>
      <c r="F881" s="252" t="s">
        <v>43</v>
      </c>
      <c r="G881" s="284" t="s">
        <v>58</v>
      </c>
      <c r="H881" s="285" t="s">
        <v>66</v>
      </c>
      <c r="I881" s="251" t="s">
        <v>1507</v>
      </c>
      <c r="J881" s="251" t="s">
        <v>1358</v>
      </c>
      <c r="K881" s="255" t="s">
        <v>27</v>
      </c>
    </row>
    <row r="882" spans="1:17" ht="12.75" customHeight="1" x14ac:dyDescent="0.2">
      <c r="A882" s="249">
        <v>25877</v>
      </c>
      <c r="B882" s="250" t="s">
        <v>2231</v>
      </c>
      <c r="C882" s="257" t="s">
        <v>1510</v>
      </c>
      <c r="D882" s="257" t="s">
        <v>411</v>
      </c>
      <c r="E882" s="257" t="s">
        <v>2374</v>
      </c>
      <c r="F882" s="252" t="s">
        <v>49</v>
      </c>
      <c r="G882" s="260" t="s">
        <v>139</v>
      </c>
      <c r="H882" s="261">
        <v>0</v>
      </c>
      <c r="I882" s="257" t="s">
        <v>1507</v>
      </c>
      <c r="J882" s="257" t="s">
        <v>1358</v>
      </c>
      <c r="K882" s="255" t="s">
        <v>27</v>
      </c>
    </row>
    <row r="883" spans="1:17" ht="12.75" customHeight="1" x14ac:dyDescent="0.2">
      <c r="A883" s="249">
        <v>38897</v>
      </c>
      <c r="B883" s="250" t="s">
        <v>2405</v>
      </c>
      <c r="C883" s="251" t="s">
        <v>1512</v>
      </c>
      <c r="D883" s="251" t="s">
        <v>1349</v>
      </c>
      <c r="E883" s="251"/>
      <c r="F883" s="252" t="s">
        <v>49</v>
      </c>
      <c r="G883" s="258" t="s">
        <v>79</v>
      </c>
      <c r="H883" s="259">
        <v>0</v>
      </c>
      <c r="I883" s="251" t="s">
        <v>1507</v>
      </c>
      <c r="J883" s="251" t="s">
        <v>1358</v>
      </c>
      <c r="K883" s="255" t="s">
        <v>27</v>
      </c>
    </row>
    <row r="884" spans="1:17" ht="12.75" customHeight="1" x14ac:dyDescent="0.2">
      <c r="A884" s="249">
        <v>7639</v>
      </c>
      <c r="B884" s="250" t="s">
        <v>1511</v>
      </c>
      <c r="C884" s="251" t="s">
        <v>1512</v>
      </c>
      <c r="D884" s="251" t="s">
        <v>73</v>
      </c>
      <c r="E884" s="251"/>
      <c r="F884" s="252" t="s">
        <v>43</v>
      </c>
      <c r="G884" s="284" t="s">
        <v>52</v>
      </c>
      <c r="H884" s="285" t="s">
        <v>45</v>
      </c>
      <c r="I884" s="251" t="s">
        <v>1507</v>
      </c>
      <c r="J884" s="251" t="s">
        <v>1358</v>
      </c>
      <c r="K884" s="255" t="s">
        <v>27</v>
      </c>
    </row>
    <row r="885" spans="1:17" ht="12.75" customHeight="1" x14ac:dyDescent="0.2">
      <c r="A885" s="249">
        <v>7636</v>
      </c>
      <c r="B885" s="250" t="s">
        <v>1513</v>
      </c>
      <c r="C885" s="251" t="s">
        <v>1514</v>
      </c>
      <c r="D885" s="251" t="s">
        <v>622</v>
      </c>
      <c r="E885" s="251"/>
      <c r="F885" s="252" t="s">
        <v>43</v>
      </c>
      <c r="G885" s="253" t="s">
        <v>52</v>
      </c>
      <c r="H885" s="254">
        <v>0</v>
      </c>
      <c r="I885" s="251" t="s">
        <v>1507</v>
      </c>
      <c r="J885" s="251" t="s">
        <v>1358</v>
      </c>
      <c r="K885" s="255" t="s">
        <v>27</v>
      </c>
    </row>
    <row r="886" spans="1:17" ht="12.75" customHeight="1" x14ac:dyDescent="0.2">
      <c r="A886" s="249">
        <v>7501</v>
      </c>
      <c r="B886" s="250" t="s">
        <v>1515</v>
      </c>
      <c r="C886" s="251" t="s">
        <v>1232</v>
      </c>
      <c r="D886" s="251" t="s">
        <v>120</v>
      </c>
      <c r="E886" s="251"/>
      <c r="F886" s="252" t="s">
        <v>43</v>
      </c>
      <c r="G886" s="284" t="s">
        <v>58</v>
      </c>
      <c r="H886" s="285" t="s">
        <v>45</v>
      </c>
      <c r="I886" s="257" t="s">
        <v>1507</v>
      </c>
      <c r="J886" s="251" t="s">
        <v>1358</v>
      </c>
      <c r="K886" s="255" t="s">
        <v>27</v>
      </c>
    </row>
    <row r="887" spans="1:17" ht="12.75" customHeight="1" x14ac:dyDescent="0.2">
      <c r="A887" s="249">
        <v>7640</v>
      </c>
      <c r="B887" s="250" t="s">
        <v>1516</v>
      </c>
      <c r="C887" s="257" t="s">
        <v>1517</v>
      </c>
      <c r="D887" s="257" t="s">
        <v>57</v>
      </c>
      <c r="E887" s="257" t="s">
        <v>2374</v>
      </c>
      <c r="F887" s="252" t="s">
        <v>43</v>
      </c>
      <c r="G887" s="284" t="s">
        <v>52</v>
      </c>
      <c r="H887" s="285"/>
      <c r="I887" s="257" t="s">
        <v>1507</v>
      </c>
      <c r="J887" s="257" t="s">
        <v>1358</v>
      </c>
      <c r="K887" s="255" t="s">
        <v>27</v>
      </c>
    </row>
    <row r="888" spans="1:17" ht="12.75" customHeight="1" x14ac:dyDescent="0.2">
      <c r="A888" s="249">
        <v>38186</v>
      </c>
      <c r="B888" s="250" t="s">
        <v>1518</v>
      </c>
      <c r="C888" s="257" t="s">
        <v>1519</v>
      </c>
      <c r="D888" s="257" t="s">
        <v>1520</v>
      </c>
      <c r="E888" s="257" t="s">
        <v>2374</v>
      </c>
      <c r="F888" s="252" t="s">
        <v>43</v>
      </c>
      <c r="G888" s="284" t="s">
        <v>67</v>
      </c>
      <c r="H888" s="285" t="s">
        <v>66</v>
      </c>
      <c r="I888" s="257" t="s">
        <v>1507</v>
      </c>
      <c r="J888" s="257" t="s">
        <v>1358</v>
      </c>
      <c r="K888" s="255" t="s">
        <v>27</v>
      </c>
      <c r="L888" s="281"/>
      <c r="M888" s="281"/>
      <c r="N888" s="281"/>
      <c r="Q888" s="283"/>
    </row>
    <row r="889" spans="1:17" ht="12.75" customHeight="1" x14ac:dyDescent="0.2">
      <c r="A889" s="249">
        <v>7423</v>
      </c>
      <c r="B889" s="250">
        <v>9046417</v>
      </c>
      <c r="C889" s="251" t="s">
        <v>1521</v>
      </c>
      <c r="D889" s="251" t="s">
        <v>1071</v>
      </c>
      <c r="E889" s="251"/>
      <c r="F889" s="252" t="s">
        <v>43</v>
      </c>
      <c r="G889" s="258" t="s">
        <v>58</v>
      </c>
      <c r="H889" s="259">
        <v>0</v>
      </c>
      <c r="I889" s="251" t="s">
        <v>1507</v>
      </c>
      <c r="J889" s="251" t="s">
        <v>1358</v>
      </c>
      <c r="K889" s="255" t="s">
        <v>27</v>
      </c>
      <c r="L889" s="281"/>
      <c r="M889" s="281"/>
      <c r="N889" s="281"/>
      <c r="Q889" s="283"/>
    </row>
    <row r="890" spans="1:17" ht="12.75" customHeight="1" x14ac:dyDescent="0.2">
      <c r="A890" s="249">
        <v>25678</v>
      </c>
      <c r="B890" s="250" t="s">
        <v>2232</v>
      </c>
      <c r="C890" s="257" t="s">
        <v>1522</v>
      </c>
      <c r="D890" s="257" t="s">
        <v>1378</v>
      </c>
      <c r="E890" s="257" t="s">
        <v>2374</v>
      </c>
      <c r="F890" s="252" t="s">
        <v>43</v>
      </c>
      <c r="G890" s="284" t="s">
        <v>58</v>
      </c>
      <c r="H890" s="285" t="s">
        <v>45</v>
      </c>
      <c r="I890" s="257" t="s">
        <v>1507</v>
      </c>
      <c r="J890" s="257" t="s">
        <v>1358</v>
      </c>
      <c r="K890" s="255" t="s">
        <v>27</v>
      </c>
    </row>
    <row r="891" spans="1:17" ht="12.75" customHeight="1" x14ac:dyDescent="0.2">
      <c r="A891" s="249">
        <v>38459</v>
      </c>
      <c r="B891" s="250" t="s">
        <v>1569</v>
      </c>
      <c r="C891" s="251" t="s">
        <v>743</v>
      </c>
      <c r="D891" s="251" t="s">
        <v>179</v>
      </c>
      <c r="E891" s="251"/>
      <c r="F891" s="252" t="s">
        <v>43</v>
      </c>
      <c r="G891" s="284" t="s">
        <v>67</v>
      </c>
      <c r="H891" s="285" t="s">
        <v>180</v>
      </c>
      <c r="I891" s="251" t="s">
        <v>1570</v>
      </c>
      <c r="J891" s="251" t="s">
        <v>1358</v>
      </c>
      <c r="K891" s="255" t="s">
        <v>27</v>
      </c>
      <c r="L891" s="281"/>
      <c r="M891" s="281"/>
      <c r="N891" s="281"/>
      <c r="Q891" s="283"/>
    </row>
    <row r="892" spans="1:17" ht="12.75" customHeight="1" x14ac:dyDescent="0.2">
      <c r="A892" s="249">
        <v>38750</v>
      </c>
      <c r="B892" s="250" t="s">
        <v>1999</v>
      </c>
      <c r="C892" s="251" t="s">
        <v>2000</v>
      </c>
      <c r="D892" s="251" t="s">
        <v>476</v>
      </c>
      <c r="E892" s="251"/>
      <c r="F892" s="252" t="s">
        <v>49</v>
      </c>
      <c r="G892" s="253" t="s">
        <v>79</v>
      </c>
      <c r="H892" s="254">
        <v>0</v>
      </c>
      <c r="I892" s="251" t="s">
        <v>1570</v>
      </c>
      <c r="J892" s="251" t="s">
        <v>1358</v>
      </c>
      <c r="K892" s="255" t="s">
        <v>27</v>
      </c>
      <c r="L892" s="281"/>
      <c r="M892" s="281"/>
      <c r="N892" s="281"/>
      <c r="Q892" s="283"/>
    </row>
    <row r="893" spans="1:17" ht="12.75" customHeight="1" x14ac:dyDescent="0.2">
      <c r="A893" s="249">
        <v>38751</v>
      </c>
      <c r="B893" s="250" t="s">
        <v>2001</v>
      </c>
      <c r="C893" s="251" t="s">
        <v>2002</v>
      </c>
      <c r="D893" s="251" t="s">
        <v>213</v>
      </c>
      <c r="E893" s="251"/>
      <c r="F893" s="252" t="s">
        <v>43</v>
      </c>
      <c r="G893" s="284" t="s">
        <v>58</v>
      </c>
      <c r="H893" s="285"/>
      <c r="I893" s="251" t="s">
        <v>1570</v>
      </c>
      <c r="J893" s="251" t="s">
        <v>1358</v>
      </c>
      <c r="K893" s="255" t="s">
        <v>27</v>
      </c>
      <c r="L893" s="281"/>
      <c r="M893" s="281"/>
      <c r="N893" s="281"/>
      <c r="Q893" s="283"/>
    </row>
    <row r="894" spans="1:17" ht="12.75" customHeight="1" x14ac:dyDescent="0.2">
      <c r="A894" s="249">
        <v>25808</v>
      </c>
      <c r="B894" s="250" t="s">
        <v>2360</v>
      </c>
      <c r="C894" s="251" t="s">
        <v>220</v>
      </c>
      <c r="D894" s="251" t="s">
        <v>453</v>
      </c>
      <c r="E894" s="251"/>
      <c r="F894" s="252" t="s">
        <v>49</v>
      </c>
      <c r="G894" s="284" t="s">
        <v>50</v>
      </c>
      <c r="H894" s="285" t="s">
        <v>45</v>
      </c>
      <c r="I894" s="251" t="s">
        <v>1570</v>
      </c>
      <c r="J894" s="251" t="s">
        <v>1358</v>
      </c>
      <c r="K894" s="255" t="s">
        <v>27</v>
      </c>
      <c r="L894" s="281"/>
      <c r="M894" s="281"/>
      <c r="N894" s="281"/>
      <c r="Q894" s="283"/>
    </row>
    <row r="895" spans="1:17" ht="12.75" customHeight="1" x14ac:dyDescent="0.2">
      <c r="A895" s="249">
        <v>38929</v>
      </c>
      <c r="B895" s="250" t="s">
        <v>2516</v>
      </c>
      <c r="C895" s="257" t="s">
        <v>131</v>
      </c>
      <c r="D895" s="257" t="s">
        <v>143</v>
      </c>
      <c r="E895" s="257" t="s">
        <v>2374</v>
      </c>
      <c r="F895" s="252" t="s">
        <v>43</v>
      </c>
      <c r="G895" s="253" t="s">
        <v>44</v>
      </c>
      <c r="H895" s="254">
        <v>0</v>
      </c>
      <c r="I895" s="257" t="s">
        <v>1570</v>
      </c>
      <c r="J895" s="257" t="s">
        <v>1358</v>
      </c>
      <c r="K895" s="255" t="s">
        <v>27</v>
      </c>
      <c r="L895" s="281"/>
      <c r="M895" s="281"/>
      <c r="N895" s="281"/>
      <c r="Q895" s="283"/>
    </row>
    <row r="896" spans="1:17" ht="12.75" customHeight="1" x14ac:dyDescent="0.2">
      <c r="A896" s="249">
        <v>10645</v>
      </c>
      <c r="B896" s="250" t="s">
        <v>1571</v>
      </c>
      <c r="C896" s="251" t="s">
        <v>1572</v>
      </c>
      <c r="D896" s="251" t="s">
        <v>265</v>
      </c>
      <c r="E896" s="251"/>
      <c r="F896" s="252" t="s">
        <v>43</v>
      </c>
      <c r="G896" s="284" t="s">
        <v>52</v>
      </c>
      <c r="H896" s="285" t="s">
        <v>51</v>
      </c>
      <c r="I896" s="251" t="s">
        <v>1570</v>
      </c>
      <c r="J896" s="251" t="s">
        <v>1358</v>
      </c>
      <c r="K896" s="255" t="s">
        <v>27</v>
      </c>
      <c r="L896" s="281"/>
      <c r="M896" s="281"/>
      <c r="N896" s="281"/>
      <c r="Q896" s="283"/>
    </row>
    <row r="897" spans="1:17" ht="12.75" customHeight="1" x14ac:dyDescent="0.2">
      <c r="A897" s="249">
        <v>38891</v>
      </c>
      <c r="B897" s="250" t="s">
        <v>2406</v>
      </c>
      <c r="C897" s="257" t="s">
        <v>2407</v>
      </c>
      <c r="D897" s="257" t="s">
        <v>667</v>
      </c>
      <c r="E897" s="257" t="s">
        <v>2374</v>
      </c>
      <c r="F897" s="252" t="s">
        <v>43</v>
      </c>
      <c r="G897" s="284" t="s">
        <v>44</v>
      </c>
      <c r="H897" s="285" t="s">
        <v>45</v>
      </c>
      <c r="I897" s="257" t="s">
        <v>1570</v>
      </c>
      <c r="J897" s="257" t="s">
        <v>1358</v>
      </c>
      <c r="K897" s="255" t="s">
        <v>27</v>
      </c>
      <c r="L897" s="281"/>
      <c r="M897" s="281"/>
      <c r="N897" s="281"/>
      <c r="Q897" s="283"/>
    </row>
    <row r="898" spans="1:17" ht="12.75" customHeight="1" x14ac:dyDescent="0.2">
      <c r="A898" s="249">
        <v>38650</v>
      </c>
      <c r="B898" s="250" t="s">
        <v>1573</v>
      </c>
      <c r="C898" s="251" t="s">
        <v>1574</v>
      </c>
      <c r="D898" s="251" t="s">
        <v>143</v>
      </c>
      <c r="E898" s="251"/>
      <c r="F898" s="252" t="s">
        <v>43</v>
      </c>
      <c r="G898" s="284" t="s">
        <v>67</v>
      </c>
      <c r="H898" s="285" t="s">
        <v>45</v>
      </c>
      <c r="I898" s="251" t="s">
        <v>1570</v>
      </c>
      <c r="J898" s="251" t="s">
        <v>1358</v>
      </c>
      <c r="K898" s="255" t="s">
        <v>27</v>
      </c>
    </row>
    <row r="899" spans="1:17" ht="12.75" customHeight="1" x14ac:dyDescent="0.2">
      <c r="A899" s="249">
        <v>16401</v>
      </c>
      <c r="B899" s="250" t="s">
        <v>1575</v>
      </c>
      <c r="C899" s="251" t="s">
        <v>1576</v>
      </c>
      <c r="D899" s="251" t="s">
        <v>595</v>
      </c>
      <c r="E899" s="251"/>
      <c r="F899" s="252" t="s">
        <v>43</v>
      </c>
      <c r="G899" s="253" t="s">
        <v>67</v>
      </c>
      <c r="H899" s="254">
        <v>0</v>
      </c>
      <c r="I899" s="251" t="s">
        <v>1570</v>
      </c>
      <c r="J899" s="251" t="s">
        <v>1358</v>
      </c>
      <c r="K899" s="255" t="s">
        <v>27</v>
      </c>
    </row>
    <row r="900" spans="1:17" ht="12.75" customHeight="1" x14ac:dyDescent="0.2">
      <c r="A900" s="249">
        <v>25525</v>
      </c>
      <c r="B900" s="250" t="s">
        <v>1577</v>
      </c>
      <c r="C900" s="251" t="s">
        <v>222</v>
      </c>
      <c r="D900" s="251" t="s">
        <v>179</v>
      </c>
      <c r="E900" s="251"/>
      <c r="F900" s="252" t="s">
        <v>43</v>
      </c>
      <c r="G900" s="284" t="s">
        <v>44</v>
      </c>
      <c r="H900" s="285" t="s">
        <v>66</v>
      </c>
      <c r="I900" s="251" t="s">
        <v>1570</v>
      </c>
      <c r="J900" s="251" t="s">
        <v>1358</v>
      </c>
      <c r="K900" s="255" t="s">
        <v>27</v>
      </c>
    </row>
    <row r="901" spans="1:17" ht="12.75" customHeight="1" x14ac:dyDescent="0.2">
      <c r="A901" s="249">
        <v>38752</v>
      </c>
      <c r="B901" s="250" t="s">
        <v>2003</v>
      </c>
      <c r="C901" s="251" t="s">
        <v>1268</v>
      </c>
      <c r="D901" s="251" t="s">
        <v>650</v>
      </c>
      <c r="E901" s="251"/>
      <c r="F901" s="252" t="s">
        <v>43</v>
      </c>
      <c r="G901" s="284" t="s">
        <v>67</v>
      </c>
      <c r="H901" s="285"/>
      <c r="I901" s="251" t="s">
        <v>1570</v>
      </c>
      <c r="J901" s="251" t="s">
        <v>1358</v>
      </c>
      <c r="K901" s="255" t="s">
        <v>27</v>
      </c>
      <c r="L901" s="281"/>
      <c r="M901" s="281"/>
      <c r="N901" s="281"/>
      <c r="Q901" s="283"/>
    </row>
    <row r="902" spans="1:17" ht="12.75" customHeight="1" x14ac:dyDescent="0.2">
      <c r="A902" s="249">
        <v>38753</v>
      </c>
      <c r="B902" s="250" t="s">
        <v>2004</v>
      </c>
      <c r="C902" s="251" t="s">
        <v>2005</v>
      </c>
      <c r="D902" s="251" t="s">
        <v>2006</v>
      </c>
      <c r="E902" s="251"/>
      <c r="F902" s="252" t="s">
        <v>43</v>
      </c>
      <c r="G902" s="284" t="s">
        <v>44</v>
      </c>
      <c r="H902" s="285" t="s">
        <v>66</v>
      </c>
      <c r="I902" s="251" t="s">
        <v>1570</v>
      </c>
      <c r="J902" s="251" t="s">
        <v>1358</v>
      </c>
      <c r="K902" s="255" t="s">
        <v>27</v>
      </c>
    </row>
    <row r="903" spans="1:17" ht="12.75" customHeight="1" x14ac:dyDescent="0.2">
      <c r="A903" s="249">
        <v>25842</v>
      </c>
      <c r="B903" s="250" t="s">
        <v>1344</v>
      </c>
      <c r="C903" s="251" t="s">
        <v>1345</v>
      </c>
      <c r="D903" s="251" t="s">
        <v>265</v>
      </c>
      <c r="E903" s="251"/>
      <c r="F903" s="252" t="s">
        <v>43</v>
      </c>
      <c r="G903" s="284" t="s">
        <v>67</v>
      </c>
      <c r="H903" s="285" t="s">
        <v>180</v>
      </c>
      <c r="I903" s="251" t="s">
        <v>1570</v>
      </c>
      <c r="J903" s="251" t="s">
        <v>1358</v>
      </c>
      <c r="K903" s="255" t="s">
        <v>27</v>
      </c>
      <c r="L903" s="281"/>
      <c r="M903" s="281"/>
      <c r="N903" s="281"/>
      <c r="Q903" s="283"/>
    </row>
    <row r="904" spans="1:17" ht="12.75" customHeight="1" x14ac:dyDescent="0.2">
      <c r="A904" s="249">
        <v>38221</v>
      </c>
      <c r="B904" s="250" t="s">
        <v>1578</v>
      </c>
      <c r="C904" s="251" t="s">
        <v>500</v>
      </c>
      <c r="D904" s="251" t="s">
        <v>99</v>
      </c>
      <c r="E904" s="251"/>
      <c r="F904" s="252" t="s">
        <v>43</v>
      </c>
      <c r="G904" s="284" t="s">
        <v>44</v>
      </c>
      <c r="H904" s="285" t="s">
        <v>66</v>
      </c>
      <c r="I904" s="251" t="s">
        <v>1570</v>
      </c>
      <c r="J904" s="251" t="s">
        <v>1358</v>
      </c>
      <c r="K904" s="255" t="s">
        <v>27</v>
      </c>
      <c r="L904" s="281"/>
      <c r="M904" s="281"/>
      <c r="N904" s="281"/>
      <c r="Q904" s="283"/>
    </row>
    <row r="905" spans="1:17" ht="12.75" customHeight="1" x14ac:dyDescent="0.2">
      <c r="A905" s="249">
        <v>38862</v>
      </c>
      <c r="B905" s="250" t="s">
        <v>2297</v>
      </c>
      <c r="C905" s="257" t="s">
        <v>2298</v>
      </c>
      <c r="D905" s="257" t="s">
        <v>667</v>
      </c>
      <c r="E905" s="257" t="s">
        <v>2374</v>
      </c>
      <c r="F905" s="252" t="s">
        <v>43</v>
      </c>
      <c r="G905" s="284" t="s">
        <v>44</v>
      </c>
      <c r="H905" s="285" t="s">
        <v>45</v>
      </c>
      <c r="I905" s="257" t="s">
        <v>1570</v>
      </c>
      <c r="J905" s="257" t="s">
        <v>1358</v>
      </c>
      <c r="K905" s="255" t="s">
        <v>27</v>
      </c>
    </row>
    <row r="906" spans="1:17" ht="12.75" customHeight="1" x14ac:dyDescent="0.2">
      <c r="A906" s="249">
        <v>38486</v>
      </c>
      <c r="B906" s="250" t="s">
        <v>1579</v>
      </c>
      <c r="C906" s="251" t="s">
        <v>1580</v>
      </c>
      <c r="D906" s="251" t="s">
        <v>477</v>
      </c>
      <c r="E906" s="251"/>
      <c r="F906" s="252" t="s">
        <v>43</v>
      </c>
      <c r="G906" s="284" t="s">
        <v>52</v>
      </c>
      <c r="H906" s="285"/>
      <c r="I906" s="251" t="s">
        <v>1570</v>
      </c>
      <c r="J906" s="251" t="s">
        <v>1358</v>
      </c>
      <c r="K906" s="255" t="s">
        <v>27</v>
      </c>
    </row>
    <row r="907" spans="1:17" ht="12.75" customHeight="1" x14ac:dyDescent="0.2">
      <c r="A907" s="249">
        <v>38487</v>
      </c>
      <c r="B907" s="250" t="s">
        <v>1581</v>
      </c>
      <c r="C907" s="251" t="s">
        <v>1580</v>
      </c>
      <c r="D907" s="251" t="s">
        <v>1440</v>
      </c>
      <c r="E907" s="251"/>
      <c r="F907" s="252" t="s">
        <v>49</v>
      </c>
      <c r="G907" s="284" t="s">
        <v>139</v>
      </c>
      <c r="H907" s="285"/>
      <c r="I907" s="251" t="s">
        <v>1570</v>
      </c>
      <c r="J907" s="251" t="s">
        <v>1358</v>
      </c>
      <c r="K907" s="255" t="s">
        <v>27</v>
      </c>
    </row>
    <row r="908" spans="1:17" ht="12.75" customHeight="1" x14ac:dyDescent="0.2">
      <c r="A908" s="249">
        <v>10080</v>
      </c>
      <c r="B908" s="250" t="s">
        <v>1582</v>
      </c>
      <c r="C908" s="251" t="s">
        <v>1583</v>
      </c>
      <c r="D908" s="251" t="s">
        <v>830</v>
      </c>
      <c r="E908" s="251"/>
      <c r="F908" s="252" t="s">
        <v>43</v>
      </c>
      <c r="G908" s="284" t="s">
        <v>52</v>
      </c>
      <c r="H908" s="285" t="s">
        <v>66</v>
      </c>
      <c r="I908" s="251" t="s">
        <v>1570</v>
      </c>
      <c r="J908" s="251" t="s">
        <v>1358</v>
      </c>
      <c r="K908" s="255" t="s">
        <v>27</v>
      </c>
      <c r="L908" s="281"/>
      <c r="M908" s="281"/>
      <c r="N908" s="281"/>
      <c r="Q908" s="283"/>
    </row>
    <row r="909" spans="1:17" ht="12.75" customHeight="1" x14ac:dyDescent="0.2">
      <c r="A909" s="249">
        <v>38863</v>
      </c>
      <c r="B909" s="250" t="s">
        <v>2408</v>
      </c>
      <c r="C909" s="257" t="s">
        <v>2299</v>
      </c>
      <c r="D909" s="257" t="s">
        <v>2300</v>
      </c>
      <c r="E909" s="257" t="s">
        <v>2374</v>
      </c>
      <c r="F909" s="252" t="s">
        <v>43</v>
      </c>
      <c r="G909" s="284" t="s">
        <v>44</v>
      </c>
      <c r="H909" s="285" t="s">
        <v>45</v>
      </c>
      <c r="I909" s="257" t="s">
        <v>1570</v>
      </c>
      <c r="J909" s="257" t="s">
        <v>1358</v>
      </c>
      <c r="K909" s="255" t="s">
        <v>27</v>
      </c>
    </row>
    <row r="910" spans="1:17" ht="12.75" customHeight="1" x14ac:dyDescent="0.2">
      <c r="A910" s="249">
        <v>38485</v>
      </c>
      <c r="B910" s="250" t="s">
        <v>1585</v>
      </c>
      <c r="C910" s="251" t="s">
        <v>1584</v>
      </c>
      <c r="D910" s="251" t="s">
        <v>184</v>
      </c>
      <c r="E910" s="251"/>
      <c r="F910" s="252" t="s">
        <v>43</v>
      </c>
      <c r="G910" s="284" t="s">
        <v>52</v>
      </c>
      <c r="H910" s="285" t="s">
        <v>45</v>
      </c>
      <c r="I910" s="251" t="s">
        <v>1570</v>
      </c>
      <c r="J910" s="251" t="s">
        <v>1358</v>
      </c>
      <c r="K910" s="255" t="s">
        <v>27</v>
      </c>
    </row>
    <row r="911" spans="1:17" ht="12.75" customHeight="1" x14ac:dyDescent="0.2">
      <c r="A911" s="249">
        <v>10798</v>
      </c>
      <c r="B911" s="250" t="s">
        <v>2025</v>
      </c>
      <c r="C911" s="251" t="s">
        <v>668</v>
      </c>
      <c r="D911" s="251" t="s">
        <v>213</v>
      </c>
      <c r="E911" s="251"/>
      <c r="F911" s="252" t="s">
        <v>43</v>
      </c>
      <c r="G911" s="284" t="s">
        <v>58</v>
      </c>
      <c r="H911" s="285" t="s">
        <v>104</v>
      </c>
      <c r="I911" s="251" t="s">
        <v>1570</v>
      </c>
      <c r="J911" s="251" t="s">
        <v>1358</v>
      </c>
      <c r="K911" s="255" t="s">
        <v>27</v>
      </c>
      <c r="L911" s="281"/>
      <c r="M911" s="281"/>
      <c r="N911" s="281"/>
      <c r="Q911" s="283"/>
    </row>
    <row r="912" spans="1:17" ht="12.75" customHeight="1" x14ac:dyDescent="0.2">
      <c r="A912" s="249">
        <v>38793</v>
      </c>
      <c r="B912" s="250" t="s">
        <v>2233</v>
      </c>
      <c r="C912" s="251" t="s">
        <v>2234</v>
      </c>
      <c r="D912" s="251" t="s">
        <v>143</v>
      </c>
      <c r="E912" s="251"/>
      <c r="F912" s="252" t="s">
        <v>43</v>
      </c>
      <c r="G912" s="284" t="s">
        <v>67</v>
      </c>
      <c r="H912" s="285" t="s">
        <v>51</v>
      </c>
      <c r="I912" s="251" t="s">
        <v>1570</v>
      </c>
      <c r="J912" s="251" t="s">
        <v>1358</v>
      </c>
      <c r="K912" s="255" t="s">
        <v>27</v>
      </c>
      <c r="L912" s="281"/>
      <c r="M912" s="281"/>
      <c r="N912" s="281"/>
      <c r="Q912" s="283"/>
    </row>
    <row r="913" spans="1:17" ht="12.75" customHeight="1" x14ac:dyDescent="0.2">
      <c r="A913" s="249">
        <v>25114</v>
      </c>
      <c r="B913" s="250" t="s">
        <v>1586</v>
      </c>
      <c r="C913" s="251" t="s">
        <v>1587</v>
      </c>
      <c r="D913" s="251" t="s">
        <v>143</v>
      </c>
      <c r="E913" s="251"/>
      <c r="F913" s="252" t="s">
        <v>43</v>
      </c>
      <c r="G913" s="284" t="s">
        <v>67</v>
      </c>
      <c r="H913" s="285" t="s">
        <v>45</v>
      </c>
      <c r="I913" s="251" t="s">
        <v>1570</v>
      </c>
      <c r="J913" s="251" t="s">
        <v>1358</v>
      </c>
      <c r="K913" s="255" t="s">
        <v>27</v>
      </c>
    </row>
    <row r="914" spans="1:17" ht="12.75" customHeight="1" x14ac:dyDescent="0.2">
      <c r="A914" s="249">
        <v>38002</v>
      </c>
      <c r="B914" s="250" t="s">
        <v>1588</v>
      </c>
      <c r="C914" s="251" t="s">
        <v>1589</v>
      </c>
      <c r="D914" s="251" t="s">
        <v>87</v>
      </c>
      <c r="E914" s="251"/>
      <c r="F914" s="252" t="s">
        <v>43</v>
      </c>
      <c r="G914" s="284" t="s">
        <v>67</v>
      </c>
      <c r="H914" s="285" t="s">
        <v>45</v>
      </c>
      <c r="I914" s="251" t="s">
        <v>1570</v>
      </c>
      <c r="J914" s="251" t="s">
        <v>1358</v>
      </c>
      <c r="K914" s="255" t="s">
        <v>27</v>
      </c>
      <c r="L914" s="281"/>
      <c r="M914" s="281"/>
      <c r="N914" s="281"/>
      <c r="Q914" s="283"/>
    </row>
    <row r="915" spans="1:17" ht="12.75" customHeight="1" x14ac:dyDescent="0.2">
      <c r="A915" s="249">
        <v>38928</v>
      </c>
      <c r="B915" s="250" t="s">
        <v>2517</v>
      </c>
      <c r="C915" s="257" t="s">
        <v>2362</v>
      </c>
      <c r="D915" s="257" t="s">
        <v>1269</v>
      </c>
      <c r="E915" s="257" t="s">
        <v>2374</v>
      </c>
      <c r="F915" s="252" t="s">
        <v>49</v>
      </c>
      <c r="G915" s="253" t="s">
        <v>139</v>
      </c>
      <c r="H915" s="254">
        <v>0</v>
      </c>
      <c r="I915" s="257" t="s">
        <v>1570</v>
      </c>
      <c r="J915" s="257" t="s">
        <v>1358</v>
      </c>
      <c r="K915" s="255" t="s">
        <v>27</v>
      </c>
    </row>
    <row r="916" spans="1:17" ht="12.75" customHeight="1" x14ac:dyDescent="0.2">
      <c r="A916" s="249">
        <v>38387</v>
      </c>
      <c r="B916" s="250" t="s">
        <v>2361</v>
      </c>
      <c r="C916" s="251" t="s">
        <v>2362</v>
      </c>
      <c r="D916" s="251" t="s">
        <v>580</v>
      </c>
      <c r="E916" s="251"/>
      <c r="F916" s="252" t="s">
        <v>43</v>
      </c>
      <c r="G916" s="284" t="s">
        <v>52</v>
      </c>
      <c r="H916" s="285" t="s">
        <v>45</v>
      </c>
      <c r="I916" s="251" t="s">
        <v>1570</v>
      </c>
      <c r="J916" s="251" t="s">
        <v>1358</v>
      </c>
      <c r="K916" s="255" t="s">
        <v>27</v>
      </c>
    </row>
    <row r="917" spans="1:17" ht="12.75" customHeight="1" x14ac:dyDescent="0.2">
      <c r="A917" s="249">
        <v>7591</v>
      </c>
      <c r="B917" s="250" t="s">
        <v>1590</v>
      </c>
      <c r="C917" s="251" t="s">
        <v>1591</v>
      </c>
      <c r="D917" s="251" t="s">
        <v>238</v>
      </c>
      <c r="E917" s="251"/>
      <c r="F917" s="252" t="s">
        <v>43</v>
      </c>
      <c r="G917" s="284" t="s">
        <v>44</v>
      </c>
      <c r="H917" s="285" t="s">
        <v>239</v>
      </c>
      <c r="I917" s="251" t="s">
        <v>1592</v>
      </c>
      <c r="J917" s="251" t="s">
        <v>1358</v>
      </c>
      <c r="K917" s="255" t="s">
        <v>27</v>
      </c>
    </row>
    <row r="918" spans="1:17" ht="12.75" customHeight="1" x14ac:dyDescent="0.2">
      <c r="A918" s="249">
        <v>7593</v>
      </c>
      <c r="B918" s="250" t="s">
        <v>1593</v>
      </c>
      <c r="C918" s="251" t="s">
        <v>1591</v>
      </c>
      <c r="D918" s="251" t="s">
        <v>73</v>
      </c>
      <c r="E918" s="251"/>
      <c r="F918" s="252" t="s">
        <v>43</v>
      </c>
      <c r="G918" s="284" t="s">
        <v>52</v>
      </c>
      <c r="H918" s="285" t="s">
        <v>180</v>
      </c>
      <c r="I918" s="251" t="s">
        <v>1592</v>
      </c>
      <c r="J918" s="251" t="s">
        <v>1358</v>
      </c>
      <c r="K918" s="255" t="s">
        <v>27</v>
      </c>
      <c r="L918" s="281"/>
      <c r="M918" s="281"/>
      <c r="N918" s="281"/>
      <c r="Q918" s="283"/>
    </row>
    <row r="919" spans="1:17" ht="12.75" customHeight="1" x14ac:dyDescent="0.2">
      <c r="A919" s="249">
        <v>7539</v>
      </c>
      <c r="B919" s="250" t="s">
        <v>1594</v>
      </c>
      <c r="C919" s="251" t="s">
        <v>1591</v>
      </c>
      <c r="D919" s="251" t="s">
        <v>230</v>
      </c>
      <c r="E919" s="251"/>
      <c r="F919" s="252" t="s">
        <v>49</v>
      </c>
      <c r="G919" s="284" t="s">
        <v>50</v>
      </c>
      <c r="H919" s="285" t="s">
        <v>66</v>
      </c>
      <c r="I919" s="251" t="s">
        <v>1592</v>
      </c>
      <c r="J919" s="251" t="s">
        <v>1358</v>
      </c>
      <c r="K919" s="255" t="s">
        <v>27</v>
      </c>
    </row>
    <row r="920" spans="1:17" ht="12.75" customHeight="1" x14ac:dyDescent="0.2">
      <c r="A920" s="249">
        <v>7592</v>
      </c>
      <c r="B920" s="250" t="s">
        <v>1595</v>
      </c>
      <c r="C920" s="251" t="s">
        <v>1591</v>
      </c>
      <c r="D920" s="251" t="s">
        <v>132</v>
      </c>
      <c r="E920" s="251"/>
      <c r="F920" s="252" t="s">
        <v>43</v>
      </c>
      <c r="G920" s="284" t="s">
        <v>44</v>
      </c>
      <c r="H920" s="285" t="s">
        <v>239</v>
      </c>
      <c r="I920" s="251" t="s">
        <v>1592</v>
      </c>
      <c r="J920" s="251" t="s">
        <v>1358</v>
      </c>
      <c r="K920" s="255" t="s">
        <v>27</v>
      </c>
    </row>
    <row r="921" spans="1:17" ht="12.75" customHeight="1" x14ac:dyDescent="0.2">
      <c r="A921" s="249">
        <v>7598</v>
      </c>
      <c r="B921" s="250">
        <v>9109428</v>
      </c>
      <c r="C921" s="251" t="s">
        <v>1596</v>
      </c>
      <c r="D921" s="251" t="s">
        <v>435</v>
      </c>
      <c r="E921" s="251"/>
      <c r="F921" s="252" t="s">
        <v>43</v>
      </c>
      <c r="G921" s="284" t="s">
        <v>58</v>
      </c>
      <c r="H921" s="285" t="s">
        <v>66</v>
      </c>
      <c r="I921" s="251" t="s">
        <v>1592</v>
      </c>
      <c r="J921" s="251" t="s">
        <v>1358</v>
      </c>
      <c r="K921" s="255" t="s">
        <v>27</v>
      </c>
    </row>
    <row r="922" spans="1:17" ht="12.75" customHeight="1" x14ac:dyDescent="0.2">
      <c r="A922" s="249">
        <v>7574</v>
      </c>
      <c r="B922" s="250" t="s">
        <v>1597</v>
      </c>
      <c r="C922" s="251" t="s">
        <v>1598</v>
      </c>
      <c r="D922" s="251" t="s">
        <v>1271</v>
      </c>
      <c r="E922" s="251"/>
      <c r="F922" s="252" t="s">
        <v>49</v>
      </c>
      <c r="G922" s="284" t="s">
        <v>228</v>
      </c>
      <c r="H922" s="285" t="s">
        <v>180</v>
      </c>
      <c r="I922" s="251" t="s">
        <v>1592</v>
      </c>
      <c r="J922" s="251" t="s">
        <v>1358</v>
      </c>
      <c r="K922" s="255" t="s">
        <v>27</v>
      </c>
    </row>
    <row r="923" spans="1:17" ht="12.75" customHeight="1" x14ac:dyDescent="0.2">
      <c r="A923" s="249">
        <v>16879</v>
      </c>
      <c r="B923" s="250" t="s">
        <v>912</v>
      </c>
      <c r="C923" s="251" t="s">
        <v>913</v>
      </c>
      <c r="D923" s="251" t="s">
        <v>914</v>
      </c>
      <c r="E923" s="251"/>
      <c r="F923" s="252" t="s">
        <v>49</v>
      </c>
      <c r="G923" s="284" t="s">
        <v>50</v>
      </c>
      <c r="H923" s="285" t="s">
        <v>45</v>
      </c>
      <c r="I923" s="251" t="s">
        <v>1592</v>
      </c>
      <c r="J923" s="251" t="s">
        <v>1358</v>
      </c>
      <c r="K923" s="255" t="s">
        <v>27</v>
      </c>
      <c r="L923" s="281"/>
      <c r="M923" s="281"/>
      <c r="N923" s="281"/>
      <c r="Q923" s="283"/>
    </row>
    <row r="924" spans="1:17" ht="12.75" customHeight="1" x14ac:dyDescent="0.2">
      <c r="A924" s="249">
        <v>16856</v>
      </c>
      <c r="B924" s="250" t="s">
        <v>915</v>
      </c>
      <c r="C924" s="251" t="s">
        <v>913</v>
      </c>
      <c r="D924" s="251" t="s">
        <v>70</v>
      </c>
      <c r="E924" s="251"/>
      <c r="F924" s="252" t="s">
        <v>43</v>
      </c>
      <c r="G924" s="284" t="s">
        <v>52</v>
      </c>
      <c r="H924" s="285" t="s">
        <v>66</v>
      </c>
      <c r="I924" s="251" t="s">
        <v>1592</v>
      </c>
      <c r="J924" s="251" t="s">
        <v>1358</v>
      </c>
      <c r="K924" s="255" t="s">
        <v>27</v>
      </c>
      <c r="L924" s="281"/>
      <c r="M924" s="281"/>
      <c r="N924" s="281"/>
      <c r="Q924" s="283"/>
    </row>
    <row r="925" spans="1:17" ht="12.75" customHeight="1" x14ac:dyDescent="0.2">
      <c r="A925" s="249">
        <v>38748</v>
      </c>
      <c r="B925" s="250" t="s">
        <v>2007</v>
      </c>
      <c r="C925" s="251" t="s">
        <v>2008</v>
      </c>
      <c r="D925" s="251" t="s">
        <v>2009</v>
      </c>
      <c r="E925" s="251"/>
      <c r="F925" s="252" t="s">
        <v>49</v>
      </c>
      <c r="G925" s="284" t="s">
        <v>79</v>
      </c>
      <c r="H925" s="285" t="s">
        <v>180</v>
      </c>
      <c r="I925" s="251" t="s">
        <v>1592</v>
      </c>
      <c r="J925" s="251" t="s">
        <v>1358</v>
      </c>
      <c r="K925" s="255" t="s">
        <v>27</v>
      </c>
      <c r="L925" s="281"/>
      <c r="M925" s="281"/>
      <c r="N925" s="281"/>
      <c r="Q925" s="283"/>
    </row>
    <row r="926" spans="1:17" ht="12.75" customHeight="1" x14ac:dyDescent="0.2">
      <c r="A926" s="249">
        <v>7575</v>
      </c>
      <c r="B926" s="250" t="s">
        <v>1599</v>
      </c>
      <c r="C926" s="251" t="s">
        <v>1600</v>
      </c>
      <c r="D926" s="251" t="s">
        <v>1528</v>
      </c>
      <c r="E926" s="251"/>
      <c r="F926" s="252" t="s">
        <v>49</v>
      </c>
      <c r="G926" s="284" t="s">
        <v>139</v>
      </c>
      <c r="H926" s="285" t="s">
        <v>180</v>
      </c>
      <c r="I926" s="251" t="s">
        <v>1592</v>
      </c>
      <c r="J926" s="251" t="s">
        <v>1358</v>
      </c>
      <c r="K926" s="255" t="s">
        <v>27</v>
      </c>
    </row>
    <row r="927" spans="1:17" ht="12.75" customHeight="1" x14ac:dyDescent="0.2">
      <c r="A927" s="249">
        <v>16679</v>
      </c>
      <c r="B927" s="250" t="s">
        <v>2518</v>
      </c>
      <c r="C927" s="257" t="s">
        <v>1532</v>
      </c>
      <c r="D927" s="257" t="s">
        <v>238</v>
      </c>
      <c r="E927" s="257" t="s">
        <v>2374</v>
      </c>
      <c r="F927" s="252" t="s">
        <v>43</v>
      </c>
      <c r="G927" s="284" t="s">
        <v>44</v>
      </c>
      <c r="H927" s="285" t="s">
        <v>180</v>
      </c>
      <c r="I927" s="257" t="s">
        <v>1592</v>
      </c>
      <c r="J927" s="257" t="s">
        <v>1358</v>
      </c>
      <c r="K927" s="255" t="s">
        <v>27</v>
      </c>
    </row>
    <row r="928" spans="1:17" ht="12.75" customHeight="1" x14ac:dyDescent="0.2">
      <c r="A928" s="249">
        <v>7595</v>
      </c>
      <c r="B928" s="250" t="s">
        <v>1601</v>
      </c>
      <c r="C928" s="251" t="s">
        <v>1602</v>
      </c>
      <c r="D928" s="251" t="s">
        <v>179</v>
      </c>
      <c r="E928" s="251"/>
      <c r="F928" s="252" t="s">
        <v>43</v>
      </c>
      <c r="G928" s="284" t="s">
        <v>44</v>
      </c>
      <c r="H928" s="285" t="s">
        <v>239</v>
      </c>
      <c r="I928" s="251" t="s">
        <v>1592</v>
      </c>
      <c r="J928" s="251" t="s">
        <v>1358</v>
      </c>
      <c r="K928" s="255" t="s">
        <v>27</v>
      </c>
    </row>
    <row r="929" spans="1:17" ht="12.75" customHeight="1" x14ac:dyDescent="0.2">
      <c r="A929" s="249">
        <v>7024</v>
      </c>
      <c r="B929" s="250" t="s">
        <v>1933</v>
      </c>
      <c r="C929" s="251" t="s">
        <v>1680</v>
      </c>
      <c r="D929" s="251" t="s">
        <v>254</v>
      </c>
      <c r="E929" s="251"/>
      <c r="F929" s="252" t="s">
        <v>49</v>
      </c>
      <c r="G929" s="284" t="s">
        <v>79</v>
      </c>
      <c r="H929" s="285" t="s">
        <v>239</v>
      </c>
      <c r="I929" s="251" t="s">
        <v>1592</v>
      </c>
      <c r="J929" s="251" t="s">
        <v>1358</v>
      </c>
      <c r="K929" s="255" t="s">
        <v>27</v>
      </c>
    </row>
    <row r="930" spans="1:17" ht="12.75" customHeight="1" x14ac:dyDescent="0.2">
      <c r="A930" s="249">
        <v>38546</v>
      </c>
      <c r="B930" s="250" t="s">
        <v>1603</v>
      </c>
      <c r="C930" s="251" t="s">
        <v>1604</v>
      </c>
      <c r="D930" s="251" t="s">
        <v>1605</v>
      </c>
      <c r="E930" s="251"/>
      <c r="F930" s="252" t="s">
        <v>43</v>
      </c>
      <c r="G930" s="284" t="s">
        <v>360</v>
      </c>
      <c r="H930" s="285" t="s">
        <v>51</v>
      </c>
      <c r="I930" s="251" t="s">
        <v>1592</v>
      </c>
      <c r="J930" s="251" t="s">
        <v>1358</v>
      </c>
      <c r="K930" s="255" t="s">
        <v>27</v>
      </c>
      <c r="L930" s="281"/>
      <c r="M930" s="281"/>
      <c r="N930" s="281"/>
      <c r="Q930" s="283"/>
    </row>
    <row r="931" spans="1:17" ht="12.75" customHeight="1" x14ac:dyDescent="0.2">
      <c r="A931" s="249">
        <v>38708</v>
      </c>
      <c r="B931" s="250" t="s">
        <v>1881</v>
      </c>
      <c r="C931" s="264" t="s">
        <v>1882</v>
      </c>
      <c r="D931" s="257" t="s">
        <v>125</v>
      </c>
      <c r="E931" s="257" t="s">
        <v>2374</v>
      </c>
      <c r="F931" s="252" t="s">
        <v>43</v>
      </c>
      <c r="G931" s="284" t="s">
        <v>89</v>
      </c>
      <c r="H931" s="285" t="s">
        <v>180</v>
      </c>
      <c r="I931" s="257" t="s">
        <v>1592</v>
      </c>
      <c r="J931" s="257" t="s">
        <v>1358</v>
      </c>
      <c r="K931" s="255" t="s">
        <v>27</v>
      </c>
      <c r="L931" s="281"/>
      <c r="M931" s="281"/>
      <c r="N931" s="281"/>
      <c r="Q931" s="283"/>
    </row>
    <row r="932" spans="1:17" ht="12.75" customHeight="1" x14ac:dyDescent="0.2">
      <c r="A932" s="249">
        <v>38438</v>
      </c>
      <c r="B932" s="250" t="s">
        <v>1606</v>
      </c>
      <c r="C932" s="251" t="s">
        <v>1607</v>
      </c>
      <c r="D932" s="251" t="s">
        <v>1608</v>
      </c>
      <c r="E932" s="251"/>
      <c r="F932" s="252" t="s">
        <v>49</v>
      </c>
      <c r="G932" s="284" t="s">
        <v>1120</v>
      </c>
      <c r="H932" s="285" t="s">
        <v>180</v>
      </c>
      <c r="I932" s="251" t="s">
        <v>1592</v>
      </c>
      <c r="J932" s="251" t="s">
        <v>1358</v>
      </c>
      <c r="K932" s="255" t="s">
        <v>27</v>
      </c>
    </row>
    <row r="933" spans="1:17" ht="12.75" customHeight="1" x14ac:dyDescent="0.2">
      <c r="A933" s="249">
        <v>38792</v>
      </c>
      <c r="B933" s="250" t="s">
        <v>2519</v>
      </c>
      <c r="C933" s="251" t="s">
        <v>1607</v>
      </c>
      <c r="D933" s="251" t="s">
        <v>90</v>
      </c>
      <c r="E933" s="251"/>
      <c r="F933" s="252" t="s">
        <v>43</v>
      </c>
      <c r="G933" s="258" t="s">
        <v>67</v>
      </c>
      <c r="H933" s="259">
        <v>0</v>
      </c>
      <c r="I933" s="251" t="s">
        <v>1592</v>
      </c>
      <c r="J933" s="251" t="s">
        <v>1358</v>
      </c>
      <c r="K933" s="255" t="s">
        <v>27</v>
      </c>
    </row>
    <row r="934" spans="1:17" ht="12.75" customHeight="1" x14ac:dyDescent="0.2">
      <c r="A934" s="249">
        <v>16912</v>
      </c>
      <c r="B934" s="250" t="s">
        <v>1609</v>
      </c>
      <c r="C934" s="251" t="s">
        <v>1610</v>
      </c>
      <c r="D934" s="251" t="s">
        <v>667</v>
      </c>
      <c r="E934" s="251"/>
      <c r="F934" s="252" t="s">
        <v>43</v>
      </c>
      <c r="G934" s="284" t="s">
        <v>44</v>
      </c>
      <c r="H934" s="285" t="s">
        <v>180</v>
      </c>
      <c r="I934" s="251" t="s">
        <v>1592</v>
      </c>
      <c r="J934" s="251" t="s">
        <v>1358</v>
      </c>
      <c r="K934" s="255" t="s">
        <v>27</v>
      </c>
      <c r="L934" s="281"/>
      <c r="M934" s="281"/>
      <c r="N934" s="281"/>
      <c r="Q934" s="283"/>
    </row>
    <row r="935" spans="1:17" ht="12.75" customHeight="1" x14ac:dyDescent="0.2">
      <c r="A935" s="249">
        <v>38222</v>
      </c>
      <c r="B935" s="250" t="s">
        <v>1611</v>
      </c>
      <c r="C935" s="251" t="s">
        <v>1612</v>
      </c>
      <c r="D935" s="251" t="s">
        <v>1496</v>
      </c>
      <c r="E935" s="251"/>
      <c r="F935" s="252" t="s">
        <v>49</v>
      </c>
      <c r="G935" s="284" t="s">
        <v>340</v>
      </c>
      <c r="H935" s="285" t="s">
        <v>66</v>
      </c>
      <c r="I935" s="251" t="s">
        <v>1592</v>
      </c>
      <c r="J935" s="251" t="s">
        <v>1358</v>
      </c>
      <c r="K935" s="255" t="s">
        <v>27</v>
      </c>
    </row>
    <row r="936" spans="1:17" ht="12.75" customHeight="1" x14ac:dyDescent="0.2">
      <c r="A936" s="249">
        <v>7867</v>
      </c>
      <c r="B936" s="250" t="s">
        <v>1102</v>
      </c>
      <c r="C936" s="257" t="s">
        <v>1103</v>
      </c>
      <c r="D936" s="257" t="s">
        <v>263</v>
      </c>
      <c r="E936" s="257" t="s">
        <v>2374</v>
      </c>
      <c r="F936" s="252" t="s">
        <v>43</v>
      </c>
      <c r="G936" s="284" t="s">
        <v>52</v>
      </c>
      <c r="H936" s="285" t="s">
        <v>239</v>
      </c>
      <c r="I936" s="257" t="s">
        <v>1592</v>
      </c>
      <c r="J936" s="257" t="s">
        <v>1358</v>
      </c>
      <c r="K936" s="255" t="s">
        <v>27</v>
      </c>
      <c r="L936" s="281"/>
      <c r="M936" s="281"/>
      <c r="N936" s="281"/>
      <c r="Q936" s="283"/>
    </row>
    <row r="937" spans="1:17" ht="12.75" customHeight="1" x14ac:dyDescent="0.2">
      <c r="A937" s="249">
        <v>7885</v>
      </c>
      <c r="B937" s="250" t="s">
        <v>1186</v>
      </c>
      <c r="C937" s="251" t="s">
        <v>1103</v>
      </c>
      <c r="D937" s="251" t="s">
        <v>82</v>
      </c>
      <c r="E937" s="251"/>
      <c r="F937" s="252" t="s">
        <v>43</v>
      </c>
      <c r="G937" s="284" t="s">
        <v>44</v>
      </c>
      <c r="H937" s="285" t="s">
        <v>239</v>
      </c>
      <c r="I937" s="251" t="s">
        <v>1592</v>
      </c>
      <c r="J937" s="251" t="s">
        <v>1358</v>
      </c>
      <c r="K937" s="255" t="s">
        <v>27</v>
      </c>
      <c r="L937" s="281"/>
      <c r="M937" s="281"/>
      <c r="N937" s="281"/>
      <c r="Q937" s="283"/>
    </row>
    <row r="938" spans="1:17" ht="12.75" customHeight="1" x14ac:dyDescent="0.2">
      <c r="A938" s="249">
        <v>7578</v>
      </c>
      <c r="B938" s="250" t="s">
        <v>1613</v>
      </c>
      <c r="C938" s="251" t="s">
        <v>1103</v>
      </c>
      <c r="D938" s="251" t="s">
        <v>1109</v>
      </c>
      <c r="E938" s="251"/>
      <c r="F938" s="252" t="s">
        <v>49</v>
      </c>
      <c r="G938" s="284" t="s">
        <v>50</v>
      </c>
      <c r="H938" s="285" t="s">
        <v>239</v>
      </c>
      <c r="I938" s="251" t="s">
        <v>1592</v>
      </c>
      <c r="J938" s="251" t="s">
        <v>1358</v>
      </c>
      <c r="K938" s="255" t="s">
        <v>27</v>
      </c>
    </row>
    <row r="939" spans="1:17" ht="12.75" customHeight="1" x14ac:dyDescent="0.2">
      <c r="A939" s="249">
        <v>7341</v>
      </c>
      <c r="B939" s="250">
        <v>9111169</v>
      </c>
      <c r="C939" s="251" t="s">
        <v>1614</v>
      </c>
      <c r="D939" s="251" t="s">
        <v>238</v>
      </c>
      <c r="E939" s="251"/>
      <c r="F939" s="252" t="s">
        <v>43</v>
      </c>
      <c r="G939" s="284" t="s">
        <v>44</v>
      </c>
      <c r="H939" s="285" t="s">
        <v>239</v>
      </c>
      <c r="I939" s="251" t="s">
        <v>1592</v>
      </c>
      <c r="J939" s="251" t="s">
        <v>1358</v>
      </c>
      <c r="K939" s="255" t="s">
        <v>27</v>
      </c>
      <c r="L939" s="281"/>
      <c r="M939" s="281"/>
      <c r="N939" s="281"/>
      <c r="Q939" s="283"/>
    </row>
    <row r="940" spans="1:17" ht="12.75" customHeight="1" x14ac:dyDescent="0.2">
      <c r="A940" s="249">
        <v>25550</v>
      </c>
      <c r="B940" s="250" t="s">
        <v>903</v>
      </c>
      <c r="C940" s="251" t="s">
        <v>904</v>
      </c>
      <c r="D940" s="251" t="s">
        <v>254</v>
      </c>
      <c r="E940" s="251"/>
      <c r="F940" s="252" t="s">
        <v>49</v>
      </c>
      <c r="G940" s="284" t="s">
        <v>79</v>
      </c>
      <c r="H940" s="285" t="s">
        <v>45</v>
      </c>
      <c r="I940" s="251" t="s">
        <v>1592</v>
      </c>
      <c r="J940" s="251" t="s">
        <v>1358</v>
      </c>
      <c r="K940" s="255" t="s">
        <v>27</v>
      </c>
    </row>
    <row r="941" spans="1:17" ht="12.75" customHeight="1" x14ac:dyDescent="0.2">
      <c r="A941" s="249">
        <v>38327</v>
      </c>
      <c r="B941" s="250" t="s">
        <v>1615</v>
      </c>
      <c r="C941" s="251" t="s">
        <v>1332</v>
      </c>
      <c r="D941" s="251" t="s">
        <v>995</v>
      </c>
      <c r="E941" s="251"/>
      <c r="F941" s="252" t="s">
        <v>43</v>
      </c>
      <c r="G941" s="284" t="s">
        <v>360</v>
      </c>
      <c r="H941" s="285" t="s">
        <v>66</v>
      </c>
      <c r="I941" s="251" t="s">
        <v>1592</v>
      </c>
      <c r="J941" s="251" t="s">
        <v>1358</v>
      </c>
      <c r="K941" s="255" t="s">
        <v>27</v>
      </c>
    </row>
    <row r="942" spans="1:17" ht="12.75" customHeight="1" x14ac:dyDescent="0.2">
      <c r="A942" s="249">
        <v>38553</v>
      </c>
      <c r="B942" s="250" t="s">
        <v>1616</v>
      </c>
      <c r="C942" s="251" t="s">
        <v>1334</v>
      </c>
      <c r="D942" s="251" t="s">
        <v>1112</v>
      </c>
      <c r="E942" s="251"/>
      <c r="F942" s="252" t="s">
        <v>49</v>
      </c>
      <c r="G942" s="284" t="s">
        <v>1120</v>
      </c>
      <c r="H942" s="285" t="s">
        <v>66</v>
      </c>
      <c r="I942" s="251" t="s">
        <v>1592</v>
      </c>
      <c r="J942" s="251" t="s">
        <v>1358</v>
      </c>
      <c r="K942" s="255" t="s">
        <v>27</v>
      </c>
    </row>
    <row r="943" spans="1:17" ht="12.75" customHeight="1" x14ac:dyDescent="0.2">
      <c r="A943" s="249">
        <v>25213</v>
      </c>
      <c r="B943" s="250" t="s">
        <v>1617</v>
      </c>
      <c r="C943" s="251" t="s">
        <v>1618</v>
      </c>
      <c r="D943" s="251" t="s">
        <v>841</v>
      </c>
      <c r="E943" s="251"/>
      <c r="F943" s="252" t="s">
        <v>43</v>
      </c>
      <c r="G943" s="284" t="s">
        <v>44</v>
      </c>
      <c r="H943" s="285" t="s">
        <v>239</v>
      </c>
      <c r="I943" s="251" t="s">
        <v>1592</v>
      </c>
      <c r="J943" s="251" t="s">
        <v>1358</v>
      </c>
      <c r="K943" s="255" t="s">
        <v>27</v>
      </c>
    </row>
    <row r="944" spans="1:17" ht="12.75" customHeight="1" x14ac:dyDescent="0.2">
      <c r="A944" s="249">
        <v>18708</v>
      </c>
      <c r="B944" s="250" t="s">
        <v>1187</v>
      </c>
      <c r="C944" s="251" t="s">
        <v>1188</v>
      </c>
      <c r="D944" s="251" t="s">
        <v>122</v>
      </c>
      <c r="E944" s="251"/>
      <c r="F944" s="252" t="s">
        <v>43</v>
      </c>
      <c r="G944" s="284" t="s">
        <v>44</v>
      </c>
      <c r="H944" s="285" t="s">
        <v>66</v>
      </c>
      <c r="I944" s="257" t="s">
        <v>1592</v>
      </c>
      <c r="J944" s="251" t="s">
        <v>1358</v>
      </c>
      <c r="K944" s="255" t="s">
        <v>27</v>
      </c>
    </row>
    <row r="945" spans="1:17" ht="12.75" customHeight="1" x14ac:dyDescent="0.2">
      <c r="A945" s="249">
        <v>7576</v>
      </c>
      <c r="B945" s="250" t="s">
        <v>1619</v>
      </c>
      <c r="C945" s="251" t="s">
        <v>1114</v>
      </c>
      <c r="D945" s="251" t="s">
        <v>1405</v>
      </c>
      <c r="E945" s="251"/>
      <c r="F945" s="252" t="s">
        <v>49</v>
      </c>
      <c r="G945" s="284" t="s">
        <v>228</v>
      </c>
      <c r="H945" s="285" t="s">
        <v>66</v>
      </c>
      <c r="I945" s="251" t="s">
        <v>1592</v>
      </c>
      <c r="J945" s="251" t="s">
        <v>1358</v>
      </c>
      <c r="K945" s="255" t="s">
        <v>27</v>
      </c>
      <c r="L945" s="281"/>
      <c r="M945" s="281"/>
      <c r="N945" s="281"/>
      <c r="Q945" s="283"/>
    </row>
    <row r="946" spans="1:17" ht="12.75" customHeight="1" x14ac:dyDescent="0.2">
      <c r="A946" s="249">
        <v>7597</v>
      </c>
      <c r="B946" s="250" t="s">
        <v>1620</v>
      </c>
      <c r="C946" s="251" t="s">
        <v>1114</v>
      </c>
      <c r="D946" s="251" t="s">
        <v>622</v>
      </c>
      <c r="E946" s="251"/>
      <c r="F946" s="252" t="s">
        <v>43</v>
      </c>
      <c r="G946" s="284" t="s">
        <v>52</v>
      </c>
      <c r="H946" s="285" t="s">
        <v>180</v>
      </c>
      <c r="I946" s="251" t="s">
        <v>1592</v>
      </c>
      <c r="J946" s="251" t="s">
        <v>1358</v>
      </c>
      <c r="K946" s="255" t="s">
        <v>27</v>
      </c>
    </row>
    <row r="947" spans="1:17" ht="12.75" customHeight="1" x14ac:dyDescent="0.2">
      <c r="A947" s="249">
        <v>38334</v>
      </c>
      <c r="B947" s="250" t="s">
        <v>1621</v>
      </c>
      <c r="C947" s="251" t="s">
        <v>1622</v>
      </c>
      <c r="D947" s="251" t="s">
        <v>88</v>
      </c>
      <c r="E947" s="251"/>
      <c r="F947" s="252" t="s">
        <v>43</v>
      </c>
      <c r="G947" s="284" t="s">
        <v>360</v>
      </c>
      <c r="H947" s="285" t="s">
        <v>45</v>
      </c>
      <c r="I947" s="251" t="s">
        <v>1592</v>
      </c>
      <c r="J947" s="251" t="s">
        <v>1358</v>
      </c>
      <c r="K947" s="255" t="s">
        <v>27</v>
      </c>
    </row>
    <row r="948" spans="1:17" ht="12.75" customHeight="1" x14ac:dyDescent="0.2">
      <c r="A948" s="249">
        <v>7440</v>
      </c>
      <c r="B948" s="250" t="s">
        <v>1624</v>
      </c>
      <c r="C948" s="251" t="s">
        <v>775</v>
      </c>
      <c r="D948" s="251" t="s">
        <v>1625</v>
      </c>
      <c r="E948" s="251"/>
      <c r="F948" s="252" t="s">
        <v>49</v>
      </c>
      <c r="G948" s="284" t="s">
        <v>139</v>
      </c>
      <c r="H948" s="285" t="s">
        <v>239</v>
      </c>
      <c r="I948" s="251" t="s">
        <v>1592</v>
      </c>
      <c r="J948" s="251" t="s">
        <v>1358</v>
      </c>
      <c r="K948" s="255" t="s">
        <v>27</v>
      </c>
    </row>
    <row r="949" spans="1:17" ht="12.75" customHeight="1" x14ac:dyDescent="0.2">
      <c r="A949" s="249">
        <v>7580</v>
      </c>
      <c r="B949" s="250" t="s">
        <v>1629</v>
      </c>
      <c r="C949" s="251" t="s">
        <v>1270</v>
      </c>
      <c r="D949" s="251" t="s">
        <v>80</v>
      </c>
      <c r="E949" s="251"/>
      <c r="F949" s="252" t="s">
        <v>43</v>
      </c>
      <c r="G949" s="284" t="s">
        <v>58</v>
      </c>
      <c r="H949" s="285" t="s">
        <v>45</v>
      </c>
      <c r="I949" s="251" t="s">
        <v>1592</v>
      </c>
      <c r="J949" s="251" t="s">
        <v>1358</v>
      </c>
      <c r="K949" s="255" t="s">
        <v>27</v>
      </c>
    </row>
    <row r="950" spans="1:17" ht="12.75" customHeight="1" x14ac:dyDescent="0.2">
      <c r="A950" s="249">
        <v>16965</v>
      </c>
      <c r="B950" s="250" t="s">
        <v>1630</v>
      </c>
      <c r="C950" s="251" t="s">
        <v>1631</v>
      </c>
      <c r="D950" s="251" t="s">
        <v>268</v>
      </c>
      <c r="E950" s="251"/>
      <c r="F950" s="252" t="s">
        <v>43</v>
      </c>
      <c r="G950" s="284" t="s">
        <v>44</v>
      </c>
      <c r="H950" s="285"/>
      <c r="I950" s="251" t="s">
        <v>1592</v>
      </c>
      <c r="J950" s="251" t="s">
        <v>1358</v>
      </c>
      <c r="K950" s="255" t="s">
        <v>27</v>
      </c>
      <c r="L950" s="281"/>
      <c r="M950" s="281"/>
      <c r="N950" s="281"/>
      <c r="Q950" s="283"/>
    </row>
    <row r="951" spans="1:17" ht="12.75" customHeight="1" x14ac:dyDescent="0.2">
      <c r="A951" s="249">
        <v>25534</v>
      </c>
      <c r="B951" s="250" t="s">
        <v>1632</v>
      </c>
      <c r="C951" s="251" t="s">
        <v>1633</v>
      </c>
      <c r="D951" s="251" t="s">
        <v>381</v>
      </c>
      <c r="E951" s="251"/>
      <c r="F951" s="252" t="s">
        <v>43</v>
      </c>
      <c r="G951" s="284" t="s">
        <v>44</v>
      </c>
      <c r="H951" s="285" t="s">
        <v>180</v>
      </c>
      <c r="I951" s="251" t="s">
        <v>1592</v>
      </c>
      <c r="J951" s="251" t="s">
        <v>1358</v>
      </c>
      <c r="K951" s="255" t="s">
        <v>27</v>
      </c>
    </row>
    <row r="952" spans="1:17" ht="12.75" customHeight="1" x14ac:dyDescent="0.2">
      <c r="A952" s="249">
        <v>12850</v>
      </c>
      <c r="B952" s="250" t="s">
        <v>933</v>
      </c>
      <c r="C952" s="251" t="s">
        <v>500</v>
      </c>
      <c r="D952" s="251" t="s">
        <v>934</v>
      </c>
      <c r="E952" s="251"/>
      <c r="F952" s="252" t="s">
        <v>49</v>
      </c>
      <c r="G952" s="284" t="s">
        <v>50</v>
      </c>
      <c r="H952" s="285" t="s">
        <v>45</v>
      </c>
      <c r="I952" s="251" t="s">
        <v>1592</v>
      </c>
      <c r="J952" s="251" t="s">
        <v>1358</v>
      </c>
      <c r="K952" s="255" t="s">
        <v>27</v>
      </c>
    </row>
    <row r="953" spans="1:17" ht="12.75" customHeight="1" x14ac:dyDescent="0.2">
      <c r="A953" s="249">
        <v>7865</v>
      </c>
      <c r="B953" s="250" t="s">
        <v>1636</v>
      </c>
      <c r="C953" s="251" t="s">
        <v>1637</v>
      </c>
      <c r="D953" s="251" t="s">
        <v>87</v>
      </c>
      <c r="E953" s="251"/>
      <c r="F953" s="252" t="s">
        <v>43</v>
      </c>
      <c r="G953" s="284" t="s">
        <v>44</v>
      </c>
      <c r="H953" s="285" t="s">
        <v>239</v>
      </c>
      <c r="I953" s="257" t="s">
        <v>1592</v>
      </c>
      <c r="J953" s="251" t="s">
        <v>1358</v>
      </c>
      <c r="K953" s="255" t="s">
        <v>27</v>
      </c>
    </row>
    <row r="954" spans="1:17" ht="12.75" customHeight="1" x14ac:dyDescent="0.2">
      <c r="A954" s="249">
        <v>16998</v>
      </c>
      <c r="B954" s="250" t="s">
        <v>942</v>
      </c>
      <c r="C954" s="251" t="s">
        <v>668</v>
      </c>
      <c r="D954" s="251" t="s">
        <v>943</v>
      </c>
      <c r="E954" s="251"/>
      <c r="F954" s="252" t="s">
        <v>43</v>
      </c>
      <c r="G954" s="284" t="s">
        <v>52</v>
      </c>
      <c r="H954" s="285" t="s">
        <v>180</v>
      </c>
      <c r="I954" s="251" t="s">
        <v>1592</v>
      </c>
      <c r="J954" s="251" t="s">
        <v>1358</v>
      </c>
      <c r="K954" s="255" t="s">
        <v>27</v>
      </c>
      <c r="L954" s="281"/>
      <c r="M954" s="281"/>
      <c r="N954" s="281"/>
      <c r="Q954" s="283"/>
    </row>
    <row r="955" spans="1:17" ht="12.75" customHeight="1" x14ac:dyDescent="0.2">
      <c r="A955" s="249">
        <v>16594</v>
      </c>
      <c r="B955" s="250" t="s">
        <v>1638</v>
      </c>
      <c r="C955" s="251" t="s">
        <v>192</v>
      </c>
      <c r="D955" s="251" t="s">
        <v>322</v>
      </c>
      <c r="E955" s="251"/>
      <c r="F955" s="252" t="s">
        <v>49</v>
      </c>
      <c r="G955" s="284" t="s">
        <v>139</v>
      </c>
      <c r="H955" s="285" t="s">
        <v>45</v>
      </c>
      <c r="I955" s="251" t="s">
        <v>1592</v>
      </c>
      <c r="J955" s="251" t="s">
        <v>1358</v>
      </c>
      <c r="K955" s="255" t="s">
        <v>27</v>
      </c>
      <c r="L955" s="281"/>
      <c r="M955" s="281"/>
      <c r="N955" s="281"/>
      <c r="Q955" s="283"/>
    </row>
    <row r="956" spans="1:17" ht="12.75" customHeight="1" x14ac:dyDescent="0.2">
      <c r="A956" s="249">
        <v>16595</v>
      </c>
      <c r="B956" s="250" t="s">
        <v>1639</v>
      </c>
      <c r="C956" s="251" t="s">
        <v>192</v>
      </c>
      <c r="D956" s="251" t="s">
        <v>507</v>
      </c>
      <c r="E956" s="251"/>
      <c r="F956" s="252" t="s">
        <v>49</v>
      </c>
      <c r="G956" s="284" t="s">
        <v>79</v>
      </c>
      <c r="H956" s="285" t="s">
        <v>180</v>
      </c>
      <c r="I956" s="251" t="s">
        <v>1592</v>
      </c>
      <c r="J956" s="251" t="s">
        <v>1358</v>
      </c>
      <c r="K956" s="255" t="s">
        <v>27</v>
      </c>
    </row>
    <row r="957" spans="1:17" ht="12.75" customHeight="1" x14ac:dyDescent="0.2">
      <c r="A957" s="249">
        <v>38350</v>
      </c>
      <c r="B957" s="250" t="s">
        <v>1640</v>
      </c>
      <c r="C957" s="251" t="s">
        <v>1641</v>
      </c>
      <c r="D957" s="251" t="s">
        <v>431</v>
      </c>
      <c r="E957" s="251"/>
      <c r="F957" s="252" t="s">
        <v>49</v>
      </c>
      <c r="G957" s="284" t="s">
        <v>340</v>
      </c>
      <c r="H957" s="285" t="s">
        <v>66</v>
      </c>
      <c r="I957" s="251" t="s">
        <v>1592</v>
      </c>
      <c r="J957" s="251" t="s">
        <v>1358</v>
      </c>
      <c r="K957" s="255" t="s">
        <v>27</v>
      </c>
    </row>
    <row r="958" spans="1:17" ht="12.75" customHeight="1" x14ac:dyDescent="0.2">
      <c r="A958" s="249">
        <v>7485</v>
      </c>
      <c r="B958" s="250" t="s">
        <v>1642</v>
      </c>
      <c r="C958" s="251" t="s">
        <v>1643</v>
      </c>
      <c r="D958" s="251" t="s">
        <v>179</v>
      </c>
      <c r="E958" s="251"/>
      <c r="F958" s="252" t="s">
        <v>43</v>
      </c>
      <c r="G958" s="284" t="s">
        <v>44</v>
      </c>
      <c r="H958" s="285" t="s">
        <v>66</v>
      </c>
      <c r="I958" s="251" t="s">
        <v>1592</v>
      </c>
      <c r="J958" s="251" t="s">
        <v>1358</v>
      </c>
      <c r="K958" s="255" t="s">
        <v>27</v>
      </c>
    </row>
    <row r="959" spans="1:17" ht="12.75" customHeight="1" x14ac:dyDescent="0.2">
      <c r="A959" s="249">
        <v>7991</v>
      </c>
      <c r="B959" s="250" t="s">
        <v>1644</v>
      </c>
      <c r="C959" s="257" t="s">
        <v>498</v>
      </c>
      <c r="D959" s="257" t="s">
        <v>1645</v>
      </c>
      <c r="E959" s="257" t="s">
        <v>2374</v>
      </c>
      <c r="F959" s="252" t="s">
        <v>49</v>
      </c>
      <c r="G959" s="284" t="s">
        <v>50</v>
      </c>
      <c r="H959" s="285" t="s">
        <v>51</v>
      </c>
      <c r="I959" s="257" t="s">
        <v>1592</v>
      </c>
      <c r="J959" s="257" t="s">
        <v>1358</v>
      </c>
      <c r="K959" s="255" t="s">
        <v>27</v>
      </c>
    </row>
    <row r="960" spans="1:17" ht="12.75" customHeight="1" x14ac:dyDescent="0.2">
      <c r="A960" s="249">
        <v>7071</v>
      </c>
      <c r="B960" s="250" t="s">
        <v>947</v>
      </c>
      <c r="C960" s="251" t="s">
        <v>948</v>
      </c>
      <c r="D960" s="251" t="s">
        <v>112</v>
      </c>
      <c r="E960" s="251"/>
      <c r="F960" s="252" t="s">
        <v>43</v>
      </c>
      <c r="G960" s="284" t="s">
        <v>58</v>
      </c>
      <c r="H960" s="285" t="s">
        <v>180</v>
      </c>
      <c r="I960" s="251" t="s">
        <v>1592</v>
      </c>
      <c r="J960" s="251" t="s">
        <v>1358</v>
      </c>
      <c r="K960" s="255" t="s">
        <v>27</v>
      </c>
    </row>
    <row r="961" spans="1:17" ht="12.75" customHeight="1" x14ac:dyDescent="0.2">
      <c r="A961" s="249">
        <v>38621</v>
      </c>
      <c r="B961" s="250" t="s">
        <v>1646</v>
      </c>
      <c r="C961" s="251" t="s">
        <v>1647</v>
      </c>
      <c r="D961" s="251" t="s">
        <v>1648</v>
      </c>
      <c r="E961" s="251"/>
      <c r="F961" s="252" t="s">
        <v>43</v>
      </c>
      <c r="G961" s="253" t="s">
        <v>360</v>
      </c>
      <c r="H961" s="254">
        <v>0</v>
      </c>
      <c r="I961" s="251" t="s">
        <v>1592</v>
      </c>
      <c r="J961" s="251" t="s">
        <v>1358</v>
      </c>
      <c r="K961" s="255" t="s">
        <v>27</v>
      </c>
    </row>
    <row r="962" spans="1:17" ht="12.75" customHeight="1" x14ac:dyDescent="0.2">
      <c r="A962" s="249">
        <v>16093</v>
      </c>
      <c r="B962" s="250" t="s">
        <v>269</v>
      </c>
      <c r="C962" s="251" t="s">
        <v>270</v>
      </c>
      <c r="D962" s="251" t="s">
        <v>271</v>
      </c>
      <c r="E962" s="251"/>
      <c r="F962" s="252" t="s">
        <v>49</v>
      </c>
      <c r="G962" s="284" t="s">
        <v>79</v>
      </c>
      <c r="H962" s="285" t="s">
        <v>66</v>
      </c>
      <c r="I962" s="251" t="s">
        <v>1592</v>
      </c>
      <c r="J962" s="251" t="s">
        <v>1358</v>
      </c>
      <c r="K962" s="255" t="s">
        <v>27</v>
      </c>
    </row>
    <row r="963" spans="1:17" ht="12.75" customHeight="1" x14ac:dyDescent="0.2">
      <c r="A963" s="249">
        <v>7061</v>
      </c>
      <c r="B963" s="250" t="s">
        <v>1244</v>
      </c>
      <c r="C963" s="251" t="s">
        <v>1245</v>
      </c>
      <c r="D963" s="251" t="s">
        <v>230</v>
      </c>
      <c r="E963" s="251"/>
      <c r="F963" s="252" t="s">
        <v>49</v>
      </c>
      <c r="G963" s="284" t="s">
        <v>139</v>
      </c>
      <c r="H963" s="285" t="s">
        <v>45</v>
      </c>
      <c r="I963" s="251" t="s">
        <v>1592</v>
      </c>
      <c r="J963" s="251" t="s">
        <v>1358</v>
      </c>
      <c r="K963" s="255" t="s">
        <v>27</v>
      </c>
    </row>
    <row r="964" spans="1:17" ht="12.75" customHeight="1" x14ac:dyDescent="0.2">
      <c r="A964" s="249">
        <v>38655</v>
      </c>
      <c r="B964" s="250" t="s">
        <v>1650</v>
      </c>
      <c r="C964" s="251" t="s">
        <v>1651</v>
      </c>
      <c r="D964" s="251" t="s">
        <v>1652</v>
      </c>
      <c r="E964" s="251"/>
      <c r="F964" s="252" t="s">
        <v>43</v>
      </c>
      <c r="G964" s="284" t="s">
        <v>360</v>
      </c>
      <c r="H964" s="285" t="s">
        <v>180</v>
      </c>
      <c r="I964" s="251" t="s">
        <v>1592</v>
      </c>
      <c r="J964" s="251" t="s">
        <v>1358</v>
      </c>
      <c r="K964" s="255" t="s">
        <v>27</v>
      </c>
    </row>
    <row r="965" spans="1:17" ht="12.75" customHeight="1" x14ac:dyDescent="0.2">
      <c r="A965" s="249">
        <v>25203</v>
      </c>
      <c r="B965" s="250" t="s">
        <v>1653</v>
      </c>
      <c r="C965" s="257" t="s">
        <v>1654</v>
      </c>
      <c r="D965" s="257" t="s">
        <v>165</v>
      </c>
      <c r="E965" s="257" t="s">
        <v>2374</v>
      </c>
      <c r="F965" s="252" t="s">
        <v>43</v>
      </c>
      <c r="G965" s="284" t="s">
        <v>44</v>
      </c>
      <c r="H965" s="285" t="s">
        <v>180</v>
      </c>
      <c r="I965" s="257" t="s">
        <v>1592</v>
      </c>
      <c r="J965" s="257" t="s">
        <v>1358</v>
      </c>
      <c r="K965" s="255" t="s">
        <v>27</v>
      </c>
    </row>
    <row r="966" spans="1:17" ht="12.75" customHeight="1" x14ac:dyDescent="0.2">
      <c r="A966" s="249">
        <v>25204</v>
      </c>
      <c r="B966" s="250" t="s">
        <v>1655</v>
      </c>
      <c r="C966" s="257" t="s">
        <v>1654</v>
      </c>
      <c r="D966" s="257" t="s">
        <v>206</v>
      </c>
      <c r="E966" s="257" t="s">
        <v>2374</v>
      </c>
      <c r="F966" s="252" t="s">
        <v>43</v>
      </c>
      <c r="G966" s="284" t="s">
        <v>44</v>
      </c>
      <c r="H966" s="285" t="s">
        <v>66</v>
      </c>
      <c r="I966" s="257" t="s">
        <v>1592</v>
      </c>
      <c r="J966" s="257" t="s">
        <v>1358</v>
      </c>
      <c r="K966" s="255" t="s">
        <v>27</v>
      </c>
    </row>
    <row r="967" spans="1:17" ht="12.75" customHeight="1" x14ac:dyDescent="0.2">
      <c r="A967" s="249">
        <v>25205</v>
      </c>
      <c r="B967" s="250" t="s">
        <v>1656</v>
      </c>
      <c r="C967" s="257" t="s">
        <v>1654</v>
      </c>
      <c r="D967" s="257" t="s">
        <v>136</v>
      </c>
      <c r="E967" s="257" t="s">
        <v>2374</v>
      </c>
      <c r="F967" s="252" t="s">
        <v>43</v>
      </c>
      <c r="G967" s="284" t="s">
        <v>44</v>
      </c>
      <c r="H967" s="285" t="s">
        <v>239</v>
      </c>
      <c r="I967" s="257" t="s">
        <v>1592</v>
      </c>
      <c r="J967" s="257" t="s">
        <v>1358</v>
      </c>
      <c r="K967" s="255" t="s">
        <v>27</v>
      </c>
    </row>
    <row r="968" spans="1:17" ht="12.75" customHeight="1" x14ac:dyDescent="0.2">
      <c r="A968" s="249">
        <v>25557</v>
      </c>
      <c r="B968" s="250" t="s">
        <v>1657</v>
      </c>
      <c r="C968" s="251" t="s">
        <v>1654</v>
      </c>
      <c r="D968" s="251" t="s">
        <v>703</v>
      </c>
      <c r="E968" s="251"/>
      <c r="F968" s="252" t="s">
        <v>43</v>
      </c>
      <c r="G968" s="284" t="s">
        <v>44</v>
      </c>
      <c r="H968" s="285" t="s">
        <v>239</v>
      </c>
      <c r="I968" s="251" t="s">
        <v>1592</v>
      </c>
      <c r="J968" s="251" t="s">
        <v>1358</v>
      </c>
      <c r="K968" s="255" t="s">
        <v>27</v>
      </c>
    </row>
    <row r="969" spans="1:17" ht="12.75" customHeight="1" x14ac:dyDescent="0.2">
      <c r="A969" s="249">
        <v>25830</v>
      </c>
      <c r="B969" s="250" t="s">
        <v>2363</v>
      </c>
      <c r="C969" s="251" t="s">
        <v>1654</v>
      </c>
      <c r="D969" s="251" t="s">
        <v>995</v>
      </c>
      <c r="E969" s="251"/>
      <c r="F969" s="252" t="s">
        <v>43</v>
      </c>
      <c r="G969" s="284" t="s">
        <v>94</v>
      </c>
      <c r="H969" s="285" t="s">
        <v>239</v>
      </c>
      <c r="I969" s="251" t="s">
        <v>1592</v>
      </c>
      <c r="J969" s="251" t="s">
        <v>1358</v>
      </c>
      <c r="K969" s="255" t="s">
        <v>27</v>
      </c>
      <c r="L969" s="281"/>
      <c r="M969" s="281"/>
      <c r="N969" s="281"/>
      <c r="Q969" s="283"/>
    </row>
    <row r="970" spans="1:17" ht="12.75" customHeight="1" x14ac:dyDescent="0.2">
      <c r="A970" s="249">
        <v>26157</v>
      </c>
      <c r="B970" s="250" t="s">
        <v>1929</v>
      </c>
      <c r="C970" s="251" t="s">
        <v>1930</v>
      </c>
      <c r="D970" s="251" t="s">
        <v>836</v>
      </c>
      <c r="E970" s="251"/>
      <c r="F970" s="252" t="s">
        <v>43</v>
      </c>
      <c r="G970" s="284" t="s">
        <v>44</v>
      </c>
      <c r="H970" s="285" t="s">
        <v>239</v>
      </c>
      <c r="I970" s="251" t="s">
        <v>1592</v>
      </c>
      <c r="J970" s="251" t="s">
        <v>1358</v>
      </c>
      <c r="K970" s="255" t="s">
        <v>27</v>
      </c>
      <c r="L970" s="281"/>
      <c r="M970" s="281"/>
      <c r="N970" s="281"/>
      <c r="Q970" s="283"/>
    </row>
    <row r="971" spans="1:17" ht="12.75" customHeight="1" x14ac:dyDescent="0.2">
      <c r="A971" s="249">
        <v>38626</v>
      </c>
      <c r="B971" s="250" t="s">
        <v>1675</v>
      </c>
      <c r="C971" s="251" t="s">
        <v>1676</v>
      </c>
      <c r="D971" s="251" t="s">
        <v>125</v>
      </c>
      <c r="E971" s="251"/>
      <c r="F971" s="252" t="s">
        <v>43</v>
      </c>
      <c r="G971" s="284" t="s">
        <v>360</v>
      </c>
      <c r="H971" s="285" t="s">
        <v>66</v>
      </c>
      <c r="I971" s="251" t="s">
        <v>1592</v>
      </c>
      <c r="J971" s="251" t="s">
        <v>1358</v>
      </c>
      <c r="K971" s="255" t="s">
        <v>27</v>
      </c>
      <c r="L971" s="281"/>
      <c r="M971" s="281"/>
      <c r="N971" s="281"/>
      <c r="Q971" s="283"/>
    </row>
    <row r="972" spans="1:17" ht="12.75" customHeight="1" x14ac:dyDescent="0.2">
      <c r="A972" s="249">
        <v>7573</v>
      </c>
      <c r="B972" s="250" t="s">
        <v>1658</v>
      </c>
      <c r="C972" s="251" t="s">
        <v>1659</v>
      </c>
      <c r="D972" s="251" t="s">
        <v>315</v>
      </c>
      <c r="E972" s="251"/>
      <c r="F972" s="252" t="s">
        <v>43</v>
      </c>
      <c r="G972" s="284" t="s">
        <v>52</v>
      </c>
      <c r="H972" s="285" t="s">
        <v>66</v>
      </c>
      <c r="I972" s="251" t="s">
        <v>1592</v>
      </c>
      <c r="J972" s="251" t="s">
        <v>1358</v>
      </c>
      <c r="K972" s="255" t="s">
        <v>27</v>
      </c>
      <c r="L972" s="281"/>
      <c r="M972" s="281"/>
      <c r="N972" s="281"/>
      <c r="Q972" s="283"/>
    </row>
    <row r="973" spans="1:17" ht="12.75" customHeight="1" x14ac:dyDescent="0.2">
      <c r="A973" s="249">
        <v>38672</v>
      </c>
      <c r="B973" s="250" t="s">
        <v>1660</v>
      </c>
      <c r="C973" s="251" t="s">
        <v>1661</v>
      </c>
      <c r="D973" s="251" t="s">
        <v>491</v>
      </c>
      <c r="E973" s="251"/>
      <c r="F973" s="252" t="s">
        <v>43</v>
      </c>
      <c r="G973" s="284" t="s">
        <v>360</v>
      </c>
      <c r="H973" s="285" t="s">
        <v>45</v>
      </c>
      <c r="I973" s="251" t="s">
        <v>255</v>
      </c>
      <c r="J973" s="251" t="s">
        <v>1358</v>
      </c>
      <c r="K973" s="255" t="s">
        <v>27</v>
      </c>
    </row>
    <row r="974" spans="1:17" ht="12.75" customHeight="1" x14ac:dyDescent="0.2">
      <c r="A974" s="249">
        <v>38867</v>
      </c>
      <c r="B974" s="250" t="s">
        <v>2317</v>
      </c>
      <c r="C974" s="251" t="s">
        <v>2318</v>
      </c>
      <c r="D974" s="251" t="s">
        <v>2319</v>
      </c>
      <c r="E974" s="251"/>
      <c r="F974" s="252" t="s">
        <v>43</v>
      </c>
      <c r="G974" s="284" t="s">
        <v>89</v>
      </c>
      <c r="H974" s="285"/>
      <c r="I974" s="251" t="s">
        <v>255</v>
      </c>
      <c r="J974" s="251" t="s">
        <v>1358</v>
      </c>
      <c r="K974" s="255" t="s">
        <v>27</v>
      </c>
    </row>
    <row r="975" spans="1:17" ht="12.75" customHeight="1" x14ac:dyDescent="0.2">
      <c r="A975" s="249">
        <v>25127</v>
      </c>
      <c r="B975" s="250" t="s">
        <v>1681</v>
      </c>
      <c r="C975" s="257" t="s">
        <v>1682</v>
      </c>
      <c r="D975" s="257" t="s">
        <v>107</v>
      </c>
      <c r="E975" s="257" t="s">
        <v>2374</v>
      </c>
      <c r="F975" s="252" t="s">
        <v>43</v>
      </c>
      <c r="G975" s="284" t="s">
        <v>52</v>
      </c>
      <c r="H975" s="285" t="s">
        <v>239</v>
      </c>
      <c r="I975" s="251" t="s">
        <v>255</v>
      </c>
      <c r="J975" s="257" t="s">
        <v>1358</v>
      </c>
      <c r="K975" s="255" t="s">
        <v>27</v>
      </c>
    </row>
    <row r="976" spans="1:17" ht="12.75" customHeight="1" x14ac:dyDescent="0.2">
      <c r="A976" s="249">
        <v>25857</v>
      </c>
      <c r="B976" s="250" t="s">
        <v>1420</v>
      </c>
      <c r="C976" s="251" t="s">
        <v>1214</v>
      </c>
      <c r="D976" s="251" t="s">
        <v>1421</v>
      </c>
      <c r="E976" s="251"/>
      <c r="F976" s="252" t="s">
        <v>49</v>
      </c>
      <c r="G976" s="284" t="s">
        <v>340</v>
      </c>
      <c r="H976" s="285" t="s">
        <v>180</v>
      </c>
      <c r="I976" s="251" t="s">
        <v>255</v>
      </c>
      <c r="J976" s="251" t="s">
        <v>1358</v>
      </c>
      <c r="K976" s="255" t="s">
        <v>27</v>
      </c>
      <c r="L976" s="281"/>
      <c r="M976" s="281"/>
      <c r="N976" s="281"/>
      <c r="Q976" s="283"/>
    </row>
    <row r="977" spans="1:17" ht="12.75" customHeight="1" x14ac:dyDescent="0.2">
      <c r="A977" s="249">
        <v>25388</v>
      </c>
      <c r="B977" s="250" t="s">
        <v>2010</v>
      </c>
      <c r="C977" s="257" t="s">
        <v>2011</v>
      </c>
      <c r="D977" s="257" t="s">
        <v>184</v>
      </c>
      <c r="E977" s="257" t="s">
        <v>2374</v>
      </c>
      <c r="F977" s="252" t="s">
        <v>43</v>
      </c>
      <c r="G977" s="284" t="s">
        <v>52</v>
      </c>
      <c r="H977" s="285"/>
      <c r="I977" s="257" t="s">
        <v>255</v>
      </c>
      <c r="J977" s="257" t="s">
        <v>1358</v>
      </c>
      <c r="K977" s="255" t="s">
        <v>27</v>
      </c>
      <c r="L977" s="281"/>
      <c r="M977" s="281"/>
      <c r="N977" s="281"/>
      <c r="Q977" s="283"/>
    </row>
    <row r="978" spans="1:17" ht="12.75" customHeight="1" x14ac:dyDescent="0.2">
      <c r="A978" s="249">
        <v>38806</v>
      </c>
      <c r="B978" s="250" t="s">
        <v>2235</v>
      </c>
      <c r="C978" s="251" t="s">
        <v>1622</v>
      </c>
      <c r="D978" s="251" t="s">
        <v>1883</v>
      </c>
      <c r="E978" s="251"/>
      <c r="F978" s="252" t="s">
        <v>43</v>
      </c>
      <c r="G978" s="284" t="s">
        <v>89</v>
      </c>
      <c r="H978" s="285" t="s">
        <v>104</v>
      </c>
      <c r="I978" s="251" t="s">
        <v>255</v>
      </c>
      <c r="J978" s="251" t="s">
        <v>1358</v>
      </c>
      <c r="K978" s="255" t="s">
        <v>27</v>
      </c>
      <c r="L978" s="281"/>
      <c r="M978" s="281"/>
      <c r="N978" s="281"/>
      <c r="Q978" s="283"/>
    </row>
    <row r="979" spans="1:17" ht="12.75" customHeight="1" x14ac:dyDescent="0.2">
      <c r="A979" s="249">
        <v>7558</v>
      </c>
      <c r="B979" s="250" t="s">
        <v>1623</v>
      </c>
      <c r="C979" s="251" t="s">
        <v>1488</v>
      </c>
      <c r="D979" s="251" t="s">
        <v>315</v>
      </c>
      <c r="E979" s="251"/>
      <c r="F979" s="252" t="s">
        <v>43</v>
      </c>
      <c r="G979" s="284" t="s">
        <v>58</v>
      </c>
      <c r="H979" s="285" t="s">
        <v>66</v>
      </c>
      <c r="I979" s="251" t="s">
        <v>255</v>
      </c>
      <c r="J979" s="251" t="s">
        <v>1358</v>
      </c>
      <c r="K979" s="255" t="s">
        <v>27</v>
      </c>
      <c r="L979" s="281"/>
      <c r="M979" s="281"/>
      <c r="N979" s="281"/>
      <c r="Q979" s="283"/>
    </row>
    <row r="980" spans="1:17" ht="12.75" customHeight="1" x14ac:dyDescent="0.2">
      <c r="A980" s="249">
        <v>7561</v>
      </c>
      <c r="B980" s="250" t="s">
        <v>1635</v>
      </c>
      <c r="C980" s="251" t="s">
        <v>1429</v>
      </c>
      <c r="D980" s="251" t="s">
        <v>65</v>
      </c>
      <c r="E980" s="251"/>
      <c r="F980" s="252" t="s">
        <v>43</v>
      </c>
      <c r="G980" s="284" t="s">
        <v>52</v>
      </c>
      <c r="H980" s="285" t="s">
        <v>180</v>
      </c>
      <c r="I980" s="251" t="s">
        <v>255</v>
      </c>
      <c r="J980" s="251" t="s">
        <v>1358</v>
      </c>
      <c r="K980" s="255" t="s">
        <v>27</v>
      </c>
      <c r="L980" s="281"/>
      <c r="M980" s="281"/>
      <c r="N980" s="281"/>
      <c r="Q980" s="283"/>
    </row>
    <row r="981" spans="1:17" ht="12.75" customHeight="1" x14ac:dyDescent="0.2">
      <c r="A981" s="249">
        <v>7565</v>
      </c>
      <c r="B981" s="250" t="s">
        <v>2236</v>
      </c>
      <c r="C981" s="251" t="s">
        <v>2237</v>
      </c>
      <c r="D981" s="251" t="s">
        <v>851</v>
      </c>
      <c r="E981" s="251"/>
      <c r="F981" s="252" t="s">
        <v>43</v>
      </c>
      <c r="G981" s="253" t="s">
        <v>58</v>
      </c>
      <c r="H981" s="254">
        <v>0</v>
      </c>
      <c r="I981" s="251" t="s">
        <v>255</v>
      </c>
      <c r="J981" s="251" t="s">
        <v>1358</v>
      </c>
      <c r="K981" s="255" t="s">
        <v>27</v>
      </c>
      <c r="L981" s="281"/>
      <c r="M981" s="281"/>
      <c r="N981" s="281"/>
      <c r="Q981" s="283"/>
    </row>
    <row r="982" spans="1:17" ht="12.75" customHeight="1" x14ac:dyDescent="0.2">
      <c r="A982" s="249">
        <v>25631</v>
      </c>
      <c r="B982" s="250">
        <v>9079766</v>
      </c>
      <c r="C982" s="251" t="s">
        <v>1671</v>
      </c>
      <c r="D982" s="251" t="s">
        <v>1672</v>
      </c>
      <c r="E982" s="251"/>
      <c r="F982" s="252" t="s">
        <v>43</v>
      </c>
      <c r="G982" s="284" t="s">
        <v>58</v>
      </c>
      <c r="H982" s="285" t="s">
        <v>66</v>
      </c>
      <c r="I982" s="251" t="s">
        <v>255</v>
      </c>
      <c r="J982" s="251" t="s">
        <v>1358</v>
      </c>
      <c r="K982" s="255" t="s">
        <v>27</v>
      </c>
    </row>
    <row r="983" spans="1:17" ht="12.75" customHeight="1" x14ac:dyDescent="0.2">
      <c r="A983" s="249">
        <v>38676</v>
      </c>
      <c r="B983" s="250" t="s">
        <v>1673</v>
      </c>
      <c r="C983" s="251" t="s">
        <v>1674</v>
      </c>
      <c r="D983" s="251" t="s">
        <v>753</v>
      </c>
      <c r="E983" s="251"/>
      <c r="F983" s="252" t="s">
        <v>43</v>
      </c>
      <c r="G983" s="284" t="s">
        <v>360</v>
      </c>
      <c r="H983" s="285"/>
      <c r="I983" s="251" t="s">
        <v>255</v>
      </c>
      <c r="J983" s="251" t="s">
        <v>1358</v>
      </c>
      <c r="K983" s="255" t="s">
        <v>27</v>
      </c>
    </row>
    <row r="984" spans="1:17" ht="12.75" customHeight="1" x14ac:dyDescent="0.2">
      <c r="A984" s="249">
        <v>38526</v>
      </c>
      <c r="B984" s="250" t="s">
        <v>2320</v>
      </c>
      <c r="C984" s="251" t="s">
        <v>2321</v>
      </c>
      <c r="D984" s="251" t="s">
        <v>2322</v>
      </c>
      <c r="E984" s="251"/>
      <c r="F984" s="252" t="s">
        <v>49</v>
      </c>
      <c r="G984" s="284" t="s">
        <v>1120</v>
      </c>
      <c r="H984" s="285"/>
      <c r="I984" s="251" t="s">
        <v>255</v>
      </c>
      <c r="J984" s="251" t="s">
        <v>1358</v>
      </c>
      <c r="K984" s="255" t="s">
        <v>27</v>
      </c>
    </row>
    <row r="985" spans="1:17" ht="12.75" customHeight="1" x14ac:dyDescent="0.2">
      <c r="A985" s="249">
        <v>38538</v>
      </c>
      <c r="B985" s="250" t="s">
        <v>1649</v>
      </c>
      <c r="C985" s="251" t="s">
        <v>199</v>
      </c>
      <c r="D985" s="251" t="s">
        <v>1421</v>
      </c>
      <c r="E985" s="251"/>
      <c r="F985" s="252" t="s">
        <v>49</v>
      </c>
      <c r="G985" s="284" t="s">
        <v>79</v>
      </c>
      <c r="H985" s="285" t="s">
        <v>66</v>
      </c>
      <c r="I985" s="251" t="s">
        <v>255</v>
      </c>
      <c r="J985" s="251" t="s">
        <v>1358</v>
      </c>
      <c r="K985" s="255" t="s">
        <v>27</v>
      </c>
    </row>
    <row r="986" spans="1:17" ht="12.75" customHeight="1" x14ac:dyDescent="0.2">
      <c r="A986" s="249">
        <v>38835</v>
      </c>
      <c r="B986" s="250" t="s">
        <v>2238</v>
      </c>
      <c r="C986" s="251" t="s">
        <v>199</v>
      </c>
      <c r="D986" s="251" t="s">
        <v>2239</v>
      </c>
      <c r="E986" s="251"/>
      <c r="F986" s="252" t="s">
        <v>43</v>
      </c>
      <c r="G986" s="284" t="s">
        <v>360</v>
      </c>
      <c r="H986" s="285" t="s">
        <v>104</v>
      </c>
      <c r="I986" s="251" t="s">
        <v>255</v>
      </c>
      <c r="J986" s="251" t="s">
        <v>1358</v>
      </c>
      <c r="K986" s="255" t="s">
        <v>27</v>
      </c>
    </row>
    <row r="987" spans="1:17" ht="12.75" customHeight="1" x14ac:dyDescent="0.2">
      <c r="A987" s="249">
        <v>7650</v>
      </c>
      <c r="B987" s="250" t="s">
        <v>1678</v>
      </c>
      <c r="C987" s="251" t="s">
        <v>1679</v>
      </c>
      <c r="D987" s="251" t="s">
        <v>1138</v>
      </c>
      <c r="E987" s="251"/>
      <c r="F987" s="252" t="s">
        <v>43</v>
      </c>
      <c r="G987" s="284" t="s">
        <v>44</v>
      </c>
      <c r="H987" s="285" t="s">
        <v>180</v>
      </c>
      <c r="I987" s="251" t="s">
        <v>1677</v>
      </c>
      <c r="J987" s="251" t="s">
        <v>1358</v>
      </c>
      <c r="K987" s="255" t="s">
        <v>27</v>
      </c>
    </row>
    <row r="988" spans="1:17" ht="12.75" customHeight="1" x14ac:dyDescent="0.2">
      <c r="A988" s="249">
        <v>38728</v>
      </c>
      <c r="B988" s="250" t="s">
        <v>1931</v>
      </c>
      <c r="C988" s="257" t="s">
        <v>1932</v>
      </c>
      <c r="D988" s="257" t="s">
        <v>1719</v>
      </c>
      <c r="E988" s="257" t="s">
        <v>2374</v>
      </c>
      <c r="F988" s="252" t="s">
        <v>43</v>
      </c>
      <c r="G988" s="284" t="s">
        <v>44</v>
      </c>
      <c r="H988" s="285"/>
      <c r="I988" s="257" t="s">
        <v>1677</v>
      </c>
      <c r="J988" s="257" t="s">
        <v>1358</v>
      </c>
      <c r="K988" s="255" t="s">
        <v>27</v>
      </c>
    </row>
    <row r="989" spans="1:17" ht="12.75" customHeight="1" x14ac:dyDescent="0.2">
      <c r="A989" s="249">
        <v>38681</v>
      </c>
      <c r="B989" s="250" t="s">
        <v>1683</v>
      </c>
      <c r="C989" s="251" t="s">
        <v>1684</v>
      </c>
      <c r="D989" s="251" t="s">
        <v>1685</v>
      </c>
      <c r="E989" s="251"/>
      <c r="F989" s="252" t="s">
        <v>43</v>
      </c>
      <c r="G989" s="284" t="s">
        <v>44</v>
      </c>
      <c r="H989" s="285" t="s">
        <v>45</v>
      </c>
      <c r="I989" s="251" t="s">
        <v>1677</v>
      </c>
      <c r="J989" s="251" t="s">
        <v>1358</v>
      </c>
      <c r="K989" s="255" t="s">
        <v>27</v>
      </c>
      <c r="L989" s="281"/>
      <c r="M989" s="281"/>
      <c r="N989" s="281"/>
      <c r="Q989" s="283"/>
    </row>
    <row r="990" spans="1:17" ht="12.75" customHeight="1" x14ac:dyDescent="0.2">
      <c r="A990" s="249">
        <v>25629</v>
      </c>
      <c r="B990" s="250">
        <v>9079768</v>
      </c>
      <c r="C990" s="251" t="s">
        <v>1686</v>
      </c>
      <c r="D990" s="251" t="s">
        <v>268</v>
      </c>
      <c r="E990" s="251"/>
      <c r="F990" s="252" t="s">
        <v>43</v>
      </c>
      <c r="G990" s="284" t="s">
        <v>44</v>
      </c>
      <c r="H990" s="285" t="s">
        <v>66</v>
      </c>
      <c r="I990" s="251" t="s">
        <v>1677</v>
      </c>
      <c r="J990" s="251" t="s">
        <v>1358</v>
      </c>
      <c r="K990" s="255" t="s">
        <v>27</v>
      </c>
    </row>
    <row r="991" spans="1:17" ht="12.75" customHeight="1" x14ac:dyDescent="0.2">
      <c r="A991" s="249">
        <v>25972</v>
      </c>
      <c r="B991" s="250" t="s">
        <v>1688</v>
      </c>
      <c r="C991" s="257" t="s">
        <v>1622</v>
      </c>
      <c r="D991" s="257" t="s">
        <v>120</v>
      </c>
      <c r="E991" s="257" t="s">
        <v>2374</v>
      </c>
      <c r="F991" s="252" t="s">
        <v>43</v>
      </c>
      <c r="G991" s="284" t="s">
        <v>44</v>
      </c>
      <c r="H991" s="285" t="s">
        <v>45</v>
      </c>
      <c r="I991" s="257" t="s">
        <v>1677</v>
      </c>
      <c r="J991" s="257" t="s">
        <v>1358</v>
      </c>
      <c r="K991" s="255" t="s">
        <v>27</v>
      </c>
    </row>
    <row r="992" spans="1:17" ht="12.75" customHeight="1" x14ac:dyDescent="0.2">
      <c r="A992" s="249">
        <v>25279</v>
      </c>
      <c r="B992" s="250" t="s">
        <v>1689</v>
      </c>
      <c r="C992" s="251" t="s">
        <v>1690</v>
      </c>
      <c r="D992" s="251" t="s">
        <v>120</v>
      </c>
      <c r="E992" s="251"/>
      <c r="F992" s="252" t="s">
        <v>43</v>
      </c>
      <c r="G992" s="284" t="s">
        <v>58</v>
      </c>
      <c r="H992" s="285" t="s">
        <v>45</v>
      </c>
      <c r="I992" s="251" t="s">
        <v>1677</v>
      </c>
      <c r="J992" s="251" t="s">
        <v>1358</v>
      </c>
      <c r="K992" s="255" t="s">
        <v>27</v>
      </c>
    </row>
    <row r="993" spans="1:17" ht="12.75" customHeight="1" x14ac:dyDescent="0.2">
      <c r="A993" s="249">
        <v>38344</v>
      </c>
      <c r="B993" s="250" t="s">
        <v>1694</v>
      </c>
      <c r="C993" s="251" t="s">
        <v>1695</v>
      </c>
      <c r="D993" s="251" t="s">
        <v>143</v>
      </c>
      <c r="E993" s="251"/>
      <c r="F993" s="252" t="s">
        <v>43</v>
      </c>
      <c r="G993" s="284" t="s">
        <v>67</v>
      </c>
      <c r="H993" s="285"/>
      <c r="I993" s="251" t="s">
        <v>1677</v>
      </c>
      <c r="J993" s="251" t="s">
        <v>1358</v>
      </c>
      <c r="K993" s="255" t="s">
        <v>27</v>
      </c>
      <c r="L993" s="281"/>
      <c r="M993" s="281"/>
      <c r="N993" s="281"/>
      <c r="Q993" s="283"/>
    </row>
    <row r="994" spans="1:17" ht="12.75" customHeight="1" x14ac:dyDescent="0.2">
      <c r="A994" s="249">
        <v>38480</v>
      </c>
      <c r="B994" s="250" t="s">
        <v>1696</v>
      </c>
      <c r="C994" s="257" t="s">
        <v>1697</v>
      </c>
      <c r="D994" s="257" t="s">
        <v>1005</v>
      </c>
      <c r="E994" s="257" t="s">
        <v>2374</v>
      </c>
      <c r="F994" s="252" t="s">
        <v>43</v>
      </c>
      <c r="G994" s="284" t="s">
        <v>44</v>
      </c>
      <c r="H994" s="285" t="s">
        <v>180</v>
      </c>
      <c r="I994" s="257" t="s">
        <v>1677</v>
      </c>
      <c r="J994" s="257" t="s">
        <v>1358</v>
      </c>
      <c r="K994" s="255" t="s">
        <v>27</v>
      </c>
    </row>
    <row r="995" spans="1:17" ht="12.75" customHeight="1" x14ac:dyDescent="0.2">
      <c r="A995" s="249">
        <v>38847</v>
      </c>
      <c r="B995" s="250" t="s">
        <v>2242</v>
      </c>
      <c r="C995" s="251" t="s">
        <v>1700</v>
      </c>
      <c r="D995" s="251" t="s">
        <v>99</v>
      </c>
      <c r="E995" s="251"/>
      <c r="F995" s="252" t="s">
        <v>43</v>
      </c>
      <c r="G995" s="284" t="s">
        <v>44</v>
      </c>
      <c r="H995" s="285" t="s">
        <v>45</v>
      </c>
      <c r="I995" s="251" t="s">
        <v>1677</v>
      </c>
      <c r="J995" s="251" t="s">
        <v>1358</v>
      </c>
      <c r="K995" s="255" t="s">
        <v>27</v>
      </c>
    </row>
    <row r="996" spans="1:17" ht="12.75" customHeight="1" x14ac:dyDescent="0.2">
      <c r="A996" s="249">
        <v>38614</v>
      </c>
      <c r="B996" s="250" t="s">
        <v>1699</v>
      </c>
      <c r="C996" s="257" t="s">
        <v>1700</v>
      </c>
      <c r="D996" s="257" t="s">
        <v>93</v>
      </c>
      <c r="E996" s="257" t="s">
        <v>2374</v>
      </c>
      <c r="F996" s="252" t="s">
        <v>43</v>
      </c>
      <c r="G996" s="284" t="s">
        <v>94</v>
      </c>
      <c r="H996" s="285"/>
      <c r="I996" s="257" t="s">
        <v>1677</v>
      </c>
      <c r="J996" s="257" t="s">
        <v>1358</v>
      </c>
      <c r="K996" s="255" t="s">
        <v>27</v>
      </c>
    </row>
    <row r="997" spans="1:17" ht="12.75" customHeight="1" x14ac:dyDescent="0.2">
      <c r="A997" s="249">
        <v>38202</v>
      </c>
      <c r="B997" s="250" t="s">
        <v>1701</v>
      </c>
      <c r="C997" s="257" t="s">
        <v>1406</v>
      </c>
      <c r="D997" s="257" t="s">
        <v>1702</v>
      </c>
      <c r="E997" s="257" t="s">
        <v>2374</v>
      </c>
      <c r="F997" s="252" t="s">
        <v>43</v>
      </c>
      <c r="G997" s="284" t="s">
        <v>52</v>
      </c>
      <c r="H997" s="285" t="s">
        <v>45</v>
      </c>
      <c r="I997" s="257" t="s">
        <v>1677</v>
      </c>
      <c r="J997" s="257" t="s">
        <v>1358</v>
      </c>
      <c r="K997" s="255" t="s">
        <v>27</v>
      </c>
    </row>
    <row r="998" spans="1:17" ht="12.75" customHeight="1" x14ac:dyDescent="0.2">
      <c r="A998" s="249">
        <v>38535</v>
      </c>
      <c r="B998" s="250" t="s">
        <v>2365</v>
      </c>
      <c r="C998" s="257" t="s">
        <v>2366</v>
      </c>
      <c r="D998" s="257" t="s">
        <v>2367</v>
      </c>
      <c r="E998" s="257" t="s">
        <v>2374</v>
      </c>
      <c r="F998" s="252" t="s">
        <v>43</v>
      </c>
      <c r="G998" s="284" t="s">
        <v>52</v>
      </c>
      <c r="H998" s="285" t="s">
        <v>66</v>
      </c>
      <c r="I998" s="257" t="s">
        <v>1677</v>
      </c>
      <c r="J998" s="257" t="s">
        <v>1358</v>
      </c>
      <c r="K998" s="255" t="s">
        <v>27</v>
      </c>
    </row>
    <row r="999" spans="1:17" ht="12.75" customHeight="1" x14ac:dyDescent="0.2">
      <c r="A999" s="249">
        <v>16864</v>
      </c>
      <c r="B999" s="250" t="s">
        <v>559</v>
      </c>
      <c r="C999" s="257" t="s">
        <v>560</v>
      </c>
      <c r="D999" s="257" t="s">
        <v>107</v>
      </c>
      <c r="E999" s="257" t="s">
        <v>2374</v>
      </c>
      <c r="F999" s="252" t="s">
        <v>43</v>
      </c>
      <c r="G999" s="284" t="s">
        <v>52</v>
      </c>
      <c r="H999" s="285" t="s">
        <v>45</v>
      </c>
      <c r="I999" s="257" t="s">
        <v>1703</v>
      </c>
      <c r="J999" s="257" t="s">
        <v>1704</v>
      </c>
      <c r="K999" s="255" t="s">
        <v>25</v>
      </c>
    </row>
    <row r="1000" spans="1:17" ht="12.75" customHeight="1" x14ac:dyDescent="0.2">
      <c r="A1000" s="249">
        <v>4788</v>
      </c>
      <c r="B1000" s="250" t="s">
        <v>2243</v>
      </c>
      <c r="C1000" s="251" t="s">
        <v>2244</v>
      </c>
      <c r="D1000" s="251" t="s">
        <v>2245</v>
      </c>
      <c r="E1000" s="251"/>
      <c r="F1000" s="252" t="s">
        <v>43</v>
      </c>
      <c r="G1000" s="284" t="s">
        <v>44</v>
      </c>
      <c r="H1000" s="285" t="s">
        <v>45</v>
      </c>
      <c r="I1000" s="251" t="s">
        <v>1703</v>
      </c>
      <c r="J1000" s="251" t="s">
        <v>1704</v>
      </c>
      <c r="K1000" s="255" t="s">
        <v>25</v>
      </c>
    </row>
    <row r="1001" spans="1:17" ht="12.75" customHeight="1" x14ac:dyDescent="0.2">
      <c r="A1001" s="249">
        <v>16860</v>
      </c>
      <c r="B1001" s="250" t="s">
        <v>1705</v>
      </c>
      <c r="C1001" s="257" t="s">
        <v>1281</v>
      </c>
      <c r="D1001" s="257" t="s">
        <v>1706</v>
      </c>
      <c r="E1001" s="257" t="s">
        <v>2374</v>
      </c>
      <c r="F1001" s="252" t="s">
        <v>43</v>
      </c>
      <c r="G1001" s="284" t="s">
        <v>52</v>
      </c>
      <c r="H1001" s="285" t="s">
        <v>45</v>
      </c>
      <c r="I1001" s="257" t="s">
        <v>1703</v>
      </c>
      <c r="J1001" s="257" t="s">
        <v>1704</v>
      </c>
      <c r="K1001" s="255" t="s">
        <v>25</v>
      </c>
    </row>
    <row r="1002" spans="1:17" ht="12.75" customHeight="1" x14ac:dyDescent="0.2">
      <c r="A1002" s="249">
        <v>16861</v>
      </c>
      <c r="B1002" s="250" t="s">
        <v>1707</v>
      </c>
      <c r="C1002" s="257" t="s">
        <v>1281</v>
      </c>
      <c r="D1002" s="257" t="s">
        <v>892</v>
      </c>
      <c r="E1002" s="257" t="s">
        <v>2374</v>
      </c>
      <c r="F1002" s="252" t="s">
        <v>43</v>
      </c>
      <c r="G1002" s="284" t="s">
        <v>44</v>
      </c>
      <c r="H1002" s="285" t="s">
        <v>66</v>
      </c>
      <c r="I1002" s="257" t="s">
        <v>1703</v>
      </c>
      <c r="J1002" s="257" t="s">
        <v>1704</v>
      </c>
      <c r="K1002" s="255" t="s">
        <v>25</v>
      </c>
      <c r="L1002" s="281"/>
      <c r="M1002" s="281"/>
      <c r="N1002" s="281"/>
      <c r="Q1002" s="283"/>
    </row>
    <row r="1003" spans="1:17" ht="12.75" customHeight="1" x14ac:dyDescent="0.2">
      <c r="A1003" s="249">
        <v>38643</v>
      </c>
      <c r="B1003" s="250" t="s">
        <v>1708</v>
      </c>
      <c r="C1003" s="251" t="s">
        <v>1709</v>
      </c>
      <c r="D1003" s="251" t="s">
        <v>1088</v>
      </c>
      <c r="E1003" s="251"/>
      <c r="F1003" s="252" t="s">
        <v>43</v>
      </c>
      <c r="G1003" s="284" t="s">
        <v>44</v>
      </c>
      <c r="H1003" s="285"/>
      <c r="I1003" s="251" t="s">
        <v>1703</v>
      </c>
      <c r="J1003" s="251" t="s">
        <v>1704</v>
      </c>
      <c r="K1003" s="255" t="s">
        <v>25</v>
      </c>
    </row>
    <row r="1004" spans="1:17" ht="12.75" customHeight="1" x14ac:dyDescent="0.2">
      <c r="A1004" s="249">
        <v>16862</v>
      </c>
      <c r="B1004" s="250" t="s">
        <v>1710</v>
      </c>
      <c r="C1004" s="257" t="s">
        <v>1711</v>
      </c>
      <c r="D1004" s="257" t="s">
        <v>87</v>
      </c>
      <c r="E1004" s="257" t="s">
        <v>2374</v>
      </c>
      <c r="F1004" s="252" t="s">
        <v>43</v>
      </c>
      <c r="G1004" s="284" t="s">
        <v>44</v>
      </c>
      <c r="H1004" s="285" t="s">
        <v>180</v>
      </c>
      <c r="I1004" s="257" t="s">
        <v>1703</v>
      </c>
      <c r="J1004" s="257" t="s">
        <v>1704</v>
      </c>
      <c r="K1004" s="255" t="s">
        <v>25</v>
      </c>
    </row>
    <row r="1005" spans="1:17" ht="12.75" customHeight="1" x14ac:dyDescent="0.2">
      <c r="A1005" s="249">
        <v>38895</v>
      </c>
      <c r="B1005" s="250" t="s">
        <v>2409</v>
      </c>
      <c r="C1005" s="251" t="s">
        <v>2410</v>
      </c>
      <c r="D1005" s="251" t="s">
        <v>403</v>
      </c>
      <c r="E1005" s="251"/>
      <c r="F1005" s="252" t="s">
        <v>43</v>
      </c>
      <c r="G1005" s="284" t="s">
        <v>360</v>
      </c>
      <c r="H1005" s="285"/>
      <c r="I1005" s="251" t="s">
        <v>1703</v>
      </c>
      <c r="J1005" s="251" t="s">
        <v>1704</v>
      </c>
      <c r="K1005" s="255" t="s">
        <v>25</v>
      </c>
    </row>
    <row r="1006" spans="1:17" ht="12.75" customHeight="1" x14ac:dyDescent="0.2">
      <c r="A1006" s="249">
        <v>16565</v>
      </c>
      <c r="B1006" s="250" t="s">
        <v>2246</v>
      </c>
      <c r="C1006" s="251" t="s">
        <v>2247</v>
      </c>
      <c r="D1006" s="251" t="s">
        <v>125</v>
      </c>
      <c r="E1006" s="251"/>
      <c r="F1006" s="252" t="s">
        <v>43</v>
      </c>
      <c r="G1006" s="284" t="s">
        <v>67</v>
      </c>
      <c r="H1006" s="285" t="s">
        <v>45</v>
      </c>
      <c r="I1006" s="251" t="s">
        <v>1703</v>
      </c>
      <c r="J1006" s="251" t="s">
        <v>1704</v>
      </c>
      <c r="K1006" s="255" t="s">
        <v>25</v>
      </c>
    </row>
    <row r="1007" spans="1:17" ht="12.75" customHeight="1" x14ac:dyDescent="0.2">
      <c r="A1007" s="249">
        <v>38721</v>
      </c>
      <c r="B1007" s="250" t="s">
        <v>1934</v>
      </c>
      <c r="C1007" s="251" t="s">
        <v>613</v>
      </c>
      <c r="D1007" s="251" t="s">
        <v>1464</v>
      </c>
      <c r="E1007" s="251"/>
      <c r="F1007" s="252" t="s">
        <v>49</v>
      </c>
      <c r="G1007" s="284" t="s">
        <v>79</v>
      </c>
      <c r="H1007" s="285" t="s">
        <v>45</v>
      </c>
      <c r="I1007" s="251" t="s">
        <v>1703</v>
      </c>
      <c r="J1007" s="251" t="s">
        <v>1704</v>
      </c>
      <c r="K1007" s="255" t="s">
        <v>25</v>
      </c>
      <c r="L1007" s="281"/>
      <c r="M1007" s="281"/>
      <c r="N1007" s="281"/>
      <c r="Q1007" s="283"/>
    </row>
    <row r="1008" spans="1:17" ht="12.75" customHeight="1" x14ac:dyDescent="0.2">
      <c r="A1008" s="249">
        <v>38544</v>
      </c>
      <c r="B1008" s="250" t="s">
        <v>377</v>
      </c>
      <c r="C1008" s="251" t="s">
        <v>378</v>
      </c>
      <c r="D1008" s="251" t="s">
        <v>379</v>
      </c>
      <c r="E1008" s="251"/>
      <c r="F1008" s="252" t="s">
        <v>43</v>
      </c>
      <c r="G1008" s="284" t="s">
        <v>89</v>
      </c>
      <c r="H1008" s="285" t="s">
        <v>45</v>
      </c>
      <c r="I1008" s="251" t="s">
        <v>1703</v>
      </c>
      <c r="J1008" s="251" t="s">
        <v>1704</v>
      </c>
      <c r="K1008" s="255" t="s">
        <v>25</v>
      </c>
      <c r="L1008" s="281"/>
      <c r="M1008" s="281"/>
      <c r="N1008" s="281"/>
      <c r="Q1008" s="283"/>
    </row>
    <row r="1009" spans="1:17" ht="12.75" customHeight="1" x14ac:dyDescent="0.2">
      <c r="A1009" s="249">
        <v>38856</v>
      </c>
      <c r="B1009" s="250" t="s">
        <v>2301</v>
      </c>
      <c r="C1009" s="251" t="s">
        <v>2045</v>
      </c>
      <c r="D1009" s="251" t="s">
        <v>953</v>
      </c>
      <c r="E1009" s="251"/>
      <c r="F1009" s="252" t="s">
        <v>43</v>
      </c>
      <c r="G1009" s="258" t="s">
        <v>360</v>
      </c>
      <c r="H1009" s="259">
        <v>0</v>
      </c>
      <c r="I1009" s="251" t="s">
        <v>1703</v>
      </c>
      <c r="J1009" s="251" t="s">
        <v>1704</v>
      </c>
      <c r="K1009" s="255" t="s">
        <v>25</v>
      </c>
      <c r="L1009" s="281"/>
      <c r="M1009" s="281"/>
      <c r="N1009" s="281"/>
      <c r="Q1009" s="283"/>
    </row>
    <row r="1010" spans="1:17" ht="12.75" customHeight="1" x14ac:dyDescent="0.2">
      <c r="A1010" s="249">
        <v>38775</v>
      </c>
      <c r="B1010" s="250" t="s">
        <v>2044</v>
      </c>
      <c r="C1010" s="251" t="s">
        <v>2045</v>
      </c>
      <c r="D1010" s="251" t="s">
        <v>2046</v>
      </c>
      <c r="E1010" s="251"/>
      <c r="F1010" s="252" t="s">
        <v>49</v>
      </c>
      <c r="G1010" s="258" t="s">
        <v>773</v>
      </c>
      <c r="H1010" s="259">
        <v>0</v>
      </c>
      <c r="I1010" s="251" t="s">
        <v>1703</v>
      </c>
      <c r="J1010" s="251" t="s">
        <v>1704</v>
      </c>
      <c r="K1010" s="255" t="s">
        <v>25</v>
      </c>
      <c r="L1010" s="281"/>
      <c r="M1010" s="281"/>
      <c r="N1010" s="281"/>
      <c r="Q1010" s="283"/>
    </row>
    <row r="1011" spans="1:17" ht="12.75" customHeight="1" x14ac:dyDescent="0.2">
      <c r="A1011" s="249">
        <v>38919</v>
      </c>
      <c r="B1011" s="250" t="s">
        <v>2520</v>
      </c>
      <c r="C1011" s="251" t="s">
        <v>2324</v>
      </c>
      <c r="D1011" s="251" t="s">
        <v>765</v>
      </c>
      <c r="E1011" s="251"/>
      <c r="F1011" s="252" t="s">
        <v>43</v>
      </c>
      <c r="G1011" s="258" t="s">
        <v>44</v>
      </c>
      <c r="H1011" s="259">
        <v>0</v>
      </c>
      <c r="I1011" s="251" t="s">
        <v>1703</v>
      </c>
      <c r="J1011" s="251" t="s">
        <v>1704</v>
      </c>
      <c r="K1011" s="255" t="s">
        <v>25</v>
      </c>
      <c r="L1011" s="281"/>
      <c r="M1011" s="281"/>
      <c r="N1011" s="281"/>
      <c r="Q1011" s="283"/>
    </row>
    <row r="1012" spans="1:17" ht="12.75" customHeight="1" x14ac:dyDescent="0.2">
      <c r="A1012" s="249">
        <v>38876</v>
      </c>
      <c r="B1012" s="250" t="s">
        <v>2323</v>
      </c>
      <c r="C1012" s="251" t="s">
        <v>2324</v>
      </c>
      <c r="D1012" s="251" t="s">
        <v>1250</v>
      </c>
      <c r="E1012" s="251"/>
      <c r="F1012" s="252" t="s">
        <v>49</v>
      </c>
      <c r="G1012" s="284" t="s">
        <v>79</v>
      </c>
      <c r="H1012" s="285" t="s">
        <v>104</v>
      </c>
      <c r="I1012" s="251" t="s">
        <v>1703</v>
      </c>
      <c r="J1012" s="251" t="s">
        <v>1704</v>
      </c>
      <c r="K1012" s="255" t="s">
        <v>25</v>
      </c>
      <c r="L1012" s="281"/>
      <c r="M1012" s="281"/>
      <c r="N1012" s="281"/>
      <c r="Q1012" s="283"/>
    </row>
    <row r="1013" spans="1:17" ht="12.75" customHeight="1" x14ac:dyDescent="0.2">
      <c r="A1013" s="249">
        <v>16349</v>
      </c>
      <c r="B1013" s="250" t="s">
        <v>1712</v>
      </c>
      <c r="C1013" s="251" t="s">
        <v>1713</v>
      </c>
      <c r="D1013" s="251" t="s">
        <v>73</v>
      </c>
      <c r="E1013" s="251"/>
      <c r="F1013" s="252" t="s">
        <v>43</v>
      </c>
      <c r="G1013" s="260" t="s">
        <v>52</v>
      </c>
      <c r="H1013" s="261">
        <v>0</v>
      </c>
      <c r="I1013" s="251" t="s">
        <v>1703</v>
      </c>
      <c r="J1013" s="251" t="s">
        <v>1704</v>
      </c>
      <c r="K1013" s="255" t="s">
        <v>25</v>
      </c>
      <c r="L1013" s="281"/>
      <c r="M1013" s="281"/>
      <c r="N1013" s="281"/>
      <c r="Q1013" s="283"/>
    </row>
    <row r="1014" spans="1:17" ht="12.75" customHeight="1" x14ac:dyDescent="0.2">
      <c r="A1014" s="249">
        <v>25163</v>
      </c>
      <c r="B1014" s="250" t="s">
        <v>620</v>
      </c>
      <c r="C1014" s="251" t="s">
        <v>621</v>
      </c>
      <c r="D1014" s="251" t="s">
        <v>622</v>
      </c>
      <c r="E1014" s="251"/>
      <c r="F1014" s="252" t="s">
        <v>43</v>
      </c>
      <c r="G1014" s="253" t="s">
        <v>52</v>
      </c>
      <c r="H1014" s="254">
        <v>0</v>
      </c>
      <c r="I1014" s="251" t="s">
        <v>1703</v>
      </c>
      <c r="J1014" s="251" t="s">
        <v>1704</v>
      </c>
      <c r="K1014" s="255" t="s">
        <v>25</v>
      </c>
      <c r="L1014" s="281"/>
      <c r="M1014" s="281"/>
      <c r="N1014" s="281"/>
      <c r="Q1014" s="283"/>
    </row>
    <row r="1015" spans="1:17" ht="12.75" customHeight="1" x14ac:dyDescent="0.2">
      <c r="A1015" s="249">
        <v>38545</v>
      </c>
      <c r="B1015" s="250" t="s">
        <v>671</v>
      </c>
      <c r="C1015" s="251" t="s">
        <v>171</v>
      </c>
      <c r="D1015" s="251" t="s">
        <v>191</v>
      </c>
      <c r="E1015" s="251"/>
      <c r="F1015" s="252" t="s">
        <v>43</v>
      </c>
      <c r="G1015" s="284" t="s">
        <v>360</v>
      </c>
      <c r="H1015" s="285" t="s">
        <v>45</v>
      </c>
      <c r="I1015" s="251" t="s">
        <v>1703</v>
      </c>
      <c r="J1015" s="251" t="s">
        <v>1704</v>
      </c>
      <c r="K1015" s="255" t="s">
        <v>25</v>
      </c>
    </row>
    <row r="1016" spans="1:17" ht="12.75" customHeight="1" x14ac:dyDescent="0.2">
      <c r="A1016" s="249">
        <v>38780</v>
      </c>
      <c r="B1016" s="250" t="s">
        <v>2047</v>
      </c>
      <c r="C1016" s="251" t="s">
        <v>2048</v>
      </c>
      <c r="D1016" s="251" t="s">
        <v>2049</v>
      </c>
      <c r="E1016" s="251"/>
      <c r="F1016" s="252" t="s">
        <v>49</v>
      </c>
      <c r="G1016" s="284" t="s">
        <v>139</v>
      </c>
      <c r="H1016" s="285" t="s">
        <v>45</v>
      </c>
      <c r="I1016" s="251" t="s">
        <v>1703</v>
      </c>
      <c r="J1016" s="251" t="s">
        <v>1704</v>
      </c>
      <c r="K1016" s="255" t="s">
        <v>25</v>
      </c>
    </row>
    <row r="1017" spans="1:17" ht="12.75" customHeight="1" x14ac:dyDescent="0.2">
      <c r="A1017" s="249">
        <v>16945</v>
      </c>
      <c r="B1017" s="250" t="s">
        <v>1716</v>
      </c>
      <c r="C1017" s="251" t="s">
        <v>1717</v>
      </c>
      <c r="D1017" s="251" t="s">
        <v>61</v>
      </c>
      <c r="E1017" s="251"/>
      <c r="F1017" s="252" t="s">
        <v>43</v>
      </c>
      <c r="G1017" s="284" t="s">
        <v>44</v>
      </c>
      <c r="H1017" s="285" t="s">
        <v>180</v>
      </c>
      <c r="I1017" s="251" t="s">
        <v>1703</v>
      </c>
      <c r="J1017" s="251" t="s">
        <v>1704</v>
      </c>
      <c r="K1017" s="255" t="s">
        <v>25</v>
      </c>
    </row>
    <row r="1018" spans="1:17" ht="12.75" customHeight="1" x14ac:dyDescent="0.2">
      <c r="A1018" s="249">
        <v>38620</v>
      </c>
      <c r="B1018" s="250" t="s">
        <v>1718</v>
      </c>
      <c r="C1018" s="251" t="s">
        <v>290</v>
      </c>
      <c r="D1018" s="251" t="s">
        <v>1719</v>
      </c>
      <c r="E1018" s="251"/>
      <c r="F1018" s="252" t="s">
        <v>43</v>
      </c>
      <c r="G1018" s="284" t="s">
        <v>94</v>
      </c>
      <c r="H1018" s="285" t="s">
        <v>104</v>
      </c>
      <c r="I1018" s="251" t="s">
        <v>1703</v>
      </c>
      <c r="J1018" s="251" t="s">
        <v>1704</v>
      </c>
      <c r="K1018" s="255" t="s">
        <v>25</v>
      </c>
    </row>
    <row r="1019" spans="1:17" ht="12.75" customHeight="1" x14ac:dyDescent="0.2">
      <c r="A1019" s="249">
        <v>38642</v>
      </c>
      <c r="B1019" s="250" t="s">
        <v>1720</v>
      </c>
      <c r="C1019" s="251" t="s">
        <v>1028</v>
      </c>
      <c r="D1019" s="251" t="s">
        <v>87</v>
      </c>
      <c r="E1019" s="251"/>
      <c r="F1019" s="252" t="s">
        <v>43</v>
      </c>
      <c r="G1019" s="284" t="s">
        <v>44</v>
      </c>
      <c r="H1019" s="285" t="s">
        <v>45</v>
      </c>
      <c r="I1019" s="251" t="s">
        <v>1703</v>
      </c>
      <c r="J1019" s="251" t="s">
        <v>1704</v>
      </c>
      <c r="K1019" s="255" t="s">
        <v>25</v>
      </c>
    </row>
    <row r="1020" spans="1:17" ht="12.75" customHeight="1" x14ac:dyDescent="0.2">
      <c r="A1020" s="249">
        <v>16348</v>
      </c>
      <c r="B1020" s="250">
        <v>9111195</v>
      </c>
      <c r="C1020" s="251" t="s">
        <v>1028</v>
      </c>
      <c r="D1020" s="251" t="s">
        <v>639</v>
      </c>
      <c r="E1020" s="251"/>
      <c r="F1020" s="252" t="s">
        <v>43</v>
      </c>
      <c r="G1020" s="284" t="s">
        <v>52</v>
      </c>
      <c r="H1020" s="285" t="s">
        <v>45</v>
      </c>
      <c r="I1020" s="251" t="s">
        <v>1703</v>
      </c>
      <c r="J1020" s="251" t="s">
        <v>1704</v>
      </c>
      <c r="K1020" s="255" t="s">
        <v>25</v>
      </c>
    </row>
    <row r="1021" spans="1:17" ht="12.75" customHeight="1" x14ac:dyDescent="0.2">
      <c r="A1021" s="249">
        <v>38396</v>
      </c>
      <c r="B1021" s="250" t="s">
        <v>1721</v>
      </c>
      <c r="C1021" s="251" t="s">
        <v>1028</v>
      </c>
      <c r="D1021" s="251" t="s">
        <v>667</v>
      </c>
      <c r="E1021" s="251"/>
      <c r="F1021" s="252" t="s">
        <v>43</v>
      </c>
      <c r="G1021" s="284" t="s">
        <v>360</v>
      </c>
      <c r="H1021" s="285" t="s">
        <v>66</v>
      </c>
      <c r="I1021" s="251" t="s">
        <v>1703</v>
      </c>
      <c r="J1021" s="251" t="s">
        <v>1704</v>
      </c>
      <c r="K1021" s="255" t="s">
        <v>25</v>
      </c>
    </row>
    <row r="1022" spans="1:17" ht="12.75" customHeight="1" x14ac:dyDescent="0.2">
      <c r="A1022" s="249">
        <v>38453</v>
      </c>
      <c r="B1022" s="250" t="s">
        <v>1722</v>
      </c>
      <c r="C1022" s="251" t="s">
        <v>1723</v>
      </c>
      <c r="D1022" s="251" t="s">
        <v>64</v>
      </c>
      <c r="E1022" s="251"/>
      <c r="F1022" s="252" t="s">
        <v>43</v>
      </c>
      <c r="G1022" s="284" t="s">
        <v>44</v>
      </c>
      <c r="H1022" s="285" t="s">
        <v>180</v>
      </c>
      <c r="I1022" s="251" t="s">
        <v>1703</v>
      </c>
      <c r="J1022" s="251" t="s">
        <v>1704</v>
      </c>
      <c r="K1022" s="255" t="s">
        <v>25</v>
      </c>
    </row>
    <row r="1023" spans="1:17" ht="12.75" customHeight="1" x14ac:dyDescent="0.2">
      <c r="A1023" s="249">
        <v>16352</v>
      </c>
      <c r="B1023" s="250" t="s">
        <v>1724</v>
      </c>
      <c r="C1023" s="251" t="s">
        <v>1725</v>
      </c>
      <c r="D1023" s="251" t="s">
        <v>125</v>
      </c>
      <c r="E1023" s="251"/>
      <c r="F1023" s="252" t="s">
        <v>43</v>
      </c>
      <c r="G1023" s="284" t="s">
        <v>44</v>
      </c>
      <c r="H1023" s="285" t="s">
        <v>180</v>
      </c>
      <c r="I1023" s="251" t="s">
        <v>1703</v>
      </c>
      <c r="J1023" s="251" t="s">
        <v>1704</v>
      </c>
      <c r="K1023" s="255" t="s">
        <v>25</v>
      </c>
    </row>
    <row r="1024" spans="1:17" ht="12.75" customHeight="1" x14ac:dyDescent="0.2">
      <c r="A1024" s="249">
        <v>16346</v>
      </c>
      <c r="B1024" s="250">
        <v>9109435</v>
      </c>
      <c r="C1024" s="251" t="s">
        <v>1726</v>
      </c>
      <c r="D1024" s="251" t="s">
        <v>176</v>
      </c>
      <c r="E1024" s="251"/>
      <c r="F1024" s="252" t="s">
        <v>43</v>
      </c>
      <c r="G1024" s="284" t="s">
        <v>58</v>
      </c>
      <c r="H1024" s="285" t="s">
        <v>66</v>
      </c>
      <c r="I1024" s="251" t="s">
        <v>1703</v>
      </c>
      <c r="J1024" s="251" t="s">
        <v>1704</v>
      </c>
      <c r="K1024" s="255" t="s">
        <v>25</v>
      </c>
    </row>
    <row r="1025" spans="1:17" ht="12.75" customHeight="1" x14ac:dyDescent="0.2">
      <c r="A1025" s="249">
        <v>38005</v>
      </c>
      <c r="B1025" s="250" t="s">
        <v>1727</v>
      </c>
      <c r="C1025" s="257" t="s">
        <v>1728</v>
      </c>
      <c r="D1025" s="257" t="s">
        <v>1729</v>
      </c>
      <c r="E1025" s="257" t="s">
        <v>2374</v>
      </c>
      <c r="F1025" s="252" t="s">
        <v>43</v>
      </c>
      <c r="G1025" s="284" t="s">
        <v>52</v>
      </c>
      <c r="H1025" s="285" t="s">
        <v>45</v>
      </c>
      <c r="I1025" s="257" t="s">
        <v>1703</v>
      </c>
      <c r="J1025" s="257" t="s">
        <v>1704</v>
      </c>
      <c r="K1025" s="255" t="s">
        <v>25</v>
      </c>
    </row>
    <row r="1026" spans="1:17" ht="12.75" customHeight="1" x14ac:dyDescent="0.2">
      <c r="A1026" s="249">
        <v>38877</v>
      </c>
      <c r="B1026" s="250" t="s">
        <v>2325</v>
      </c>
      <c r="C1026" s="251" t="s">
        <v>2326</v>
      </c>
      <c r="D1026" s="251" t="s">
        <v>65</v>
      </c>
      <c r="E1026" s="251"/>
      <c r="F1026" s="252" t="s">
        <v>43</v>
      </c>
      <c r="G1026" s="284" t="s">
        <v>52</v>
      </c>
      <c r="H1026" s="285" t="s">
        <v>51</v>
      </c>
      <c r="I1026" s="251" t="s">
        <v>1703</v>
      </c>
      <c r="J1026" s="251" t="s">
        <v>1704</v>
      </c>
      <c r="K1026" s="255" t="s">
        <v>25</v>
      </c>
      <c r="L1026" s="281"/>
      <c r="M1026" s="281"/>
      <c r="N1026" s="281"/>
      <c r="Q1026" s="283"/>
    </row>
    <row r="1027" spans="1:17" ht="12.75" customHeight="1" x14ac:dyDescent="0.2">
      <c r="A1027" s="249">
        <v>16495</v>
      </c>
      <c r="B1027" s="250" t="s">
        <v>629</v>
      </c>
      <c r="C1027" s="251" t="s">
        <v>630</v>
      </c>
      <c r="D1027" s="251" t="s">
        <v>195</v>
      </c>
      <c r="E1027" s="251"/>
      <c r="F1027" s="252" t="s">
        <v>43</v>
      </c>
      <c r="G1027" s="284" t="s">
        <v>44</v>
      </c>
      <c r="H1027" s="285" t="s">
        <v>180</v>
      </c>
      <c r="I1027" s="251" t="s">
        <v>1703</v>
      </c>
      <c r="J1027" s="251" t="s">
        <v>1704</v>
      </c>
      <c r="K1027" s="255" t="s">
        <v>25</v>
      </c>
      <c r="L1027" s="281"/>
      <c r="M1027" s="281"/>
      <c r="N1027" s="281"/>
      <c r="Q1027" s="283"/>
    </row>
    <row r="1028" spans="1:17" ht="12.75" customHeight="1" x14ac:dyDescent="0.2">
      <c r="A1028" s="249">
        <v>16488</v>
      </c>
      <c r="B1028" s="250">
        <v>9111194</v>
      </c>
      <c r="C1028" s="251" t="s">
        <v>630</v>
      </c>
      <c r="D1028" s="251" t="s">
        <v>117</v>
      </c>
      <c r="E1028" s="251"/>
      <c r="F1028" s="252" t="s">
        <v>43</v>
      </c>
      <c r="G1028" s="284" t="s">
        <v>58</v>
      </c>
      <c r="H1028" s="285" t="s">
        <v>45</v>
      </c>
      <c r="I1028" s="251" t="s">
        <v>1703</v>
      </c>
      <c r="J1028" s="251" t="s">
        <v>1704</v>
      </c>
      <c r="K1028" s="255" t="s">
        <v>25</v>
      </c>
      <c r="L1028" s="281"/>
      <c r="M1028" s="281"/>
      <c r="N1028" s="281"/>
      <c r="Q1028" s="283"/>
    </row>
    <row r="1029" spans="1:17" ht="12.75" customHeight="1" x14ac:dyDescent="0.2">
      <c r="A1029" s="249">
        <v>16559</v>
      </c>
      <c r="B1029" s="250" t="s">
        <v>1730</v>
      </c>
      <c r="C1029" s="251" t="s">
        <v>1731</v>
      </c>
      <c r="D1029" s="251" t="s">
        <v>165</v>
      </c>
      <c r="E1029" s="251"/>
      <c r="F1029" s="252" t="s">
        <v>43</v>
      </c>
      <c r="G1029" s="284" t="s">
        <v>52</v>
      </c>
      <c r="H1029" s="285" t="s">
        <v>66</v>
      </c>
      <c r="I1029" s="251" t="s">
        <v>1703</v>
      </c>
      <c r="J1029" s="251" t="s">
        <v>1704</v>
      </c>
      <c r="K1029" s="255" t="s">
        <v>25</v>
      </c>
    </row>
    <row r="1030" spans="1:17" ht="12.75" customHeight="1" x14ac:dyDescent="0.2">
      <c r="A1030" s="249">
        <v>38776</v>
      </c>
      <c r="B1030" s="250" t="s">
        <v>2050</v>
      </c>
      <c r="C1030" s="251" t="s">
        <v>2051</v>
      </c>
      <c r="D1030" s="251" t="s">
        <v>806</v>
      </c>
      <c r="E1030" s="251"/>
      <c r="F1030" s="252" t="s">
        <v>43</v>
      </c>
      <c r="G1030" s="284" t="s">
        <v>2052</v>
      </c>
      <c r="H1030" s="285" t="s">
        <v>104</v>
      </c>
      <c r="I1030" s="251" t="s">
        <v>1703</v>
      </c>
      <c r="J1030" s="251" t="s">
        <v>1704</v>
      </c>
      <c r="K1030" s="255" t="s">
        <v>25</v>
      </c>
    </row>
    <row r="1031" spans="1:17" ht="12.75" customHeight="1" x14ac:dyDescent="0.2">
      <c r="A1031" s="249">
        <v>38777</v>
      </c>
      <c r="B1031" s="250" t="s">
        <v>2053</v>
      </c>
      <c r="C1031" s="251" t="s">
        <v>1733</v>
      </c>
      <c r="D1031" s="251" t="s">
        <v>2054</v>
      </c>
      <c r="E1031" s="251"/>
      <c r="F1031" s="252" t="s">
        <v>43</v>
      </c>
      <c r="G1031" s="258" t="s">
        <v>89</v>
      </c>
      <c r="H1031" s="259">
        <v>0</v>
      </c>
      <c r="I1031" s="251" t="s">
        <v>1703</v>
      </c>
      <c r="J1031" s="251" t="s">
        <v>1704</v>
      </c>
      <c r="K1031" s="255" t="s">
        <v>25</v>
      </c>
      <c r="L1031" s="281"/>
      <c r="M1031" s="281"/>
      <c r="N1031" s="281"/>
      <c r="Q1031" s="283"/>
    </row>
    <row r="1032" spans="1:17" ht="12.75" customHeight="1" x14ac:dyDescent="0.2">
      <c r="A1032" s="249">
        <v>16852</v>
      </c>
      <c r="B1032" s="250" t="s">
        <v>1732</v>
      </c>
      <c r="C1032" s="257" t="s">
        <v>1733</v>
      </c>
      <c r="D1032" s="257" t="s">
        <v>687</v>
      </c>
      <c r="E1032" s="257" t="s">
        <v>2374</v>
      </c>
      <c r="F1032" s="252" t="s">
        <v>43</v>
      </c>
      <c r="G1032" s="284" t="s">
        <v>44</v>
      </c>
      <c r="H1032" s="285" t="s">
        <v>180</v>
      </c>
      <c r="I1032" s="257" t="s">
        <v>1703</v>
      </c>
      <c r="J1032" s="257" t="s">
        <v>1704</v>
      </c>
      <c r="K1032" s="255" t="s">
        <v>25</v>
      </c>
    </row>
    <row r="1033" spans="1:17" ht="12.75" customHeight="1" x14ac:dyDescent="0.2">
      <c r="A1033" s="249">
        <v>16848</v>
      </c>
      <c r="B1033" s="250" t="s">
        <v>1734</v>
      </c>
      <c r="C1033" s="257" t="s">
        <v>1733</v>
      </c>
      <c r="D1033" s="257" t="s">
        <v>120</v>
      </c>
      <c r="E1033" s="257" t="s">
        <v>2374</v>
      </c>
      <c r="F1033" s="252" t="s">
        <v>43</v>
      </c>
      <c r="G1033" s="284" t="s">
        <v>52</v>
      </c>
      <c r="H1033" s="285" t="s">
        <v>51</v>
      </c>
      <c r="I1033" s="257" t="s">
        <v>1703</v>
      </c>
      <c r="J1033" s="257" t="s">
        <v>1704</v>
      </c>
      <c r="K1033" s="255" t="s">
        <v>25</v>
      </c>
      <c r="L1033" s="281"/>
      <c r="M1033" s="281"/>
      <c r="N1033" s="281"/>
      <c r="Q1033" s="283"/>
    </row>
    <row r="1034" spans="1:17" ht="12.75" customHeight="1" x14ac:dyDescent="0.2">
      <c r="A1034" s="249">
        <v>25541</v>
      </c>
      <c r="B1034" s="250" t="s">
        <v>2101</v>
      </c>
      <c r="C1034" s="257" t="s">
        <v>1735</v>
      </c>
      <c r="D1034" s="257" t="s">
        <v>73</v>
      </c>
      <c r="E1034" s="257" t="s">
        <v>2374</v>
      </c>
      <c r="F1034" s="252" t="s">
        <v>43</v>
      </c>
      <c r="G1034" s="284" t="s">
        <v>52</v>
      </c>
      <c r="H1034" s="285" t="s">
        <v>45</v>
      </c>
      <c r="I1034" s="257" t="s">
        <v>1703</v>
      </c>
      <c r="J1034" s="257" t="s">
        <v>1704</v>
      </c>
      <c r="K1034" s="255" t="s">
        <v>25</v>
      </c>
    </row>
    <row r="1035" spans="1:17" ht="12.75" customHeight="1" x14ac:dyDescent="0.2">
      <c r="A1035" s="249">
        <v>25199</v>
      </c>
      <c r="B1035" s="250" t="s">
        <v>1737</v>
      </c>
      <c r="C1035" s="257" t="s">
        <v>1736</v>
      </c>
      <c r="D1035" s="257" t="s">
        <v>806</v>
      </c>
      <c r="E1035" s="257" t="s">
        <v>2374</v>
      </c>
      <c r="F1035" s="252" t="s">
        <v>43</v>
      </c>
      <c r="G1035" s="284" t="s">
        <v>44</v>
      </c>
      <c r="H1035" s="285" t="s">
        <v>66</v>
      </c>
      <c r="I1035" s="257" t="s">
        <v>1703</v>
      </c>
      <c r="J1035" s="257" t="s">
        <v>1704</v>
      </c>
      <c r="K1035" s="255" t="s">
        <v>25</v>
      </c>
    </row>
    <row r="1036" spans="1:17" ht="12.75" customHeight="1" x14ac:dyDescent="0.2">
      <c r="A1036" s="249">
        <v>16253</v>
      </c>
      <c r="B1036" s="250" t="s">
        <v>605</v>
      </c>
      <c r="C1036" s="251" t="s">
        <v>606</v>
      </c>
      <c r="D1036" s="251" t="s">
        <v>403</v>
      </c>
      <c r="E1036" s="251"/>
      <c r="F1036" s="252" t="s">
        <v>43</v>
      </c>
      <c r="G1036" s="284" t="s">
        <v>44</v>
      </c>
      <c r="H1036" s="285" t="s">
        <v>239</v>
      </c>
      <c r="I1036" s="251" t="s">
        <v>19</v>
      </c>
      <c r="J1036" s="251" t="s">
        <v>1739</v>
      </c>
      <c r="K1036" s="255" t="s">
        <v>21</v>
      </c>
    </row>
    <row r="1037" spans="1:17" ht="12.75" customHeight="1" x14ac:dyDescent="0.2">
      <c r="A1037" s="249">
        <v>38686</v>
      </c>
      <c r="B1037" s="250" t="s">
        <v>1738</v>
      </c>
      <c r="C1037" s="257" t="s">
        <v>162</v>
      </c>
      <c r="D1037" s="257" t="s">
        <v>61</v>
      </c>
      <c r="E1037" s="257" t="s">
        <v>2374</v>
      </c>
      <c r="F1037" s="252" t="s">
        <v>43</v>
      </c>
      <c r="G1037" s="284" t="s">
        <v>44</v>
      </c>
      <c r="H1037" s="285" t="s">
        <v>66</v>
      </c>
      <c r="I1037" s="257" t="s">
        <v>19</v>
      </c>
      <c r="J1037" s="257" t="s">
        <v>1739</v>
      </c>
      <c r="K1037" s="255" t="s">
        <v>21</v>
      </c>
    </row>
    <row r="1038" spans="1:17" ht="12.75" customHeight="1" x14ac:dyDescent="0.2">
      <c r="A1038" s="249">
        <v>16287</v>
      </c>
      <c r="B1038" s="250" t="s">
        <v>1740</v>
      </c>
      <c r="C1038" s="257" t="s">
        <v>1741</v>
      </c>
      <c r="D1038" s="257" t="s">
        <v>82</v>
      </c>
      <c r="E1038" s="257" t="s">
        <v>2374</v>
      </c>
      <c r="F1038" s="252" t="s">
        <v>43</v>
      </c>
      <c r="G1038" s="284" t="s">
        <v>44</v>
      </c>
      <c r="H1038" s="285" t="s">
        <v>45</v>
      </c>
      <c r="I1038" s="257" t="s">
        <v>19</v>
      </c>
      <c r="J1038" s="257" t="s">
        <v>1739</v>
      </c>
      <c r="K1038" s="255" t="s">
        <v>21</v>
      </c>
    </row>
    <row r="1039" spans="1:17" ht="12.75" customHeight="1" x14ac:dyDescent="0.2">
      <c r="A1039" s="249">
        <v>16277</v>
      </c>
      <c r="B1039" s="250" t="s">
        <v>1742</v>
      </c>
      <c r="C1039" s="251" t="s">
        <v>1743</v>
      </c>
      <c r="D1039" s="251" t="s">
        <v>80</v>
      </c>
      <c r="E1039" s="251"/>
      <c r="F1039" s="252" t="s">
        <v>43</v>
      </c>
      <c r="G1039" s="284" t="s">
        <v>58</v>
      </c>
      <c r="H1039" s="285"/>
      <c r="I1039" s="251" t="s">
        <v>19</v>
      </c>
      <c r="J1039" s="251" t="s">
        <v>1739</v>
      </c>
      <c r="K1039" s="255" t="s">
        <v>21</v>
      </c>
    </row>
    <row r="1040" spans="1:17" ht="12.75" customHeight="1" x14ac:dyDescent="0.2">
      <c r="A1040" s="249">
        <v>38840</v>
      </c>
      <c r="B1040" s="250" t="s">
        <v>2248</v>
      </c>
      <c r="C1040" s="257" t="s">
        <v>2249</v>
      </c>
      <c r="D1040" s="257" t="s">
        <v>2250</v>
      </c>
      <c r="E1040" s="257" t="s">
        <v>2374</v>
      </c>
      <c r="F1040" s="252" t="s">
        <v>43</v>
      </c>
      <c r="G1040" s="284" t="s">
        <v>67</v>
      </c>
      <c r="H1040" s="285" t="s">
        <v>45</v>
      </c>
      <c r="I1040" s="257" t="s">
        <v>19</v>
      </c>
      <c r="J1040" s="257" t="s">
        <v>1739</v>
      </c>
      <c r="K1040" s="255" t="s">
        <v>21</v>
      </c>
      <c r="L1040" s="281"/>
      <c r="M1040" s="281"/>
      <c r="N1040" s="281"/>
      <c r="Q1040" s="283"/>
    </row>
    <row r="1041" spans="1:17" ht="12.75" customHeight="1" x14ac:dyDescent="0.2">
      <c r="A1041" s="249">
        <v>38687</v>
      </c>
      <c r="B1041" s="250" t="s">
        <v>1744</v>
      </c>
      <c r="C1041" s="257" t="s">
        <v>1745</v>
      </c>
      <c r="D1041" s="257" t="s">
        <v>82</v>
      </c>
      <c r="E1041" s="257" t="s">
        <v>2374</v>
      </c>
      <c r="F1041" s="252" t="s">
        <v>43</v>
      </c>
      <c r="G1041" s="284" t="s">
        <v>44</v>
      </c>
      <c r="H1041" s="285" t="s">
        <v>180</v>
      </c>
      <c r="I1041" s="257" t="s">
        <v>19</v>
      </c>
      <c r="J1041" s="257" t="s">
        <v>1739</v>
      </c>
      <c r="K1041" s="255" t="s">
        <v>21</v>
      </c>
    </row>
    <row r="1042" spans="1:17" ht="12.75" customHeight="1" x14ac:dyDescent="0.2">
      <c r="A1042" s="249">
        <v>25425</v>
      </c>
      <c r="B1042" s="250" t="s">
        <v>2026</v>
      </c>
      <c r="C1042" s="257" t="s">
        <v>1746</v>
      </c>
      <c r="D1042" s="257" t="s">
        <v>143</v>
      </c>
      <c r="E1042" s="257" t="s">
        <v>2374</v>
      </c>
      <c r="F1042" s="252" t="s">
        <v>43</v>
      </c>
      <c r="G1042" s="284" t="s">
        <v>44</v>
      </c>
      <c r="H1042" s="285" t="s">
        <v>51</v>
      </c>
      <c r="I1042" s="257" t="s">
        <v>19</v>
      </c>
      <c r="J1042" s="257" t="s">
        <v>1739</v>
      </c>
      <c r="K1042" s="255" t="s">
        <v>21</v>
      </c>
    </row>
    <row r="1043" spans="1:17" ht="12.75" customHeight="1" x14ac:dyDescent="0.2">
      <c r="A1043" s="249">
        <v>16285</v>
      </c>
      <c r="B1043" s="250" t="s">
        <v>1747</v>
      </c>
      <c r="C1043" s="251" t="s">
        <v>717</v>
      </c>
      <c r="D1043" s="251" t="s">
        <v>73</v>
      </c>
      <c r="E1043" s="251"/>
      <c r="F1043" s="252" t="s">
        <v>43</v>
      </c>
      <c r="G1043" s="284" t="s">
        <v>58</v>
      </c>
      <c r="H1043" s="285" t="s">
        <v>45</v>
      </c>
      <c r="I1043" s="251" t="s">
        <v>19</v>
      </c>
      <c r="J1043" s="251" t="s">
        <v>1739</v>
      </c>
      <c r="K1043" s="255" t="s">
        <v>21</v>
      </c>
    </row>
    <row r="1044" spans="1:17" ht="12.75" customHeight="1" x14ac:dyDescent="0.2">
      <c r="A1044" s="249">
        <v>10622</v>
      </c>
      <c r="B1044" s="250" t="s">
        <v>1748</v>
      </c>
      <c r="C1044" s="257" t="s">
        <v>1749</v>
      </c>
      <c r="D1044" s="257" t="s">
        <v>179</v>
      </c>
      <c r="E1044" s="257" t="s">
        <v>2374</v>
      </c>
      <c r="F1044" s="252" t="s">
        <v>43</v>
      </c>
      <c r="G1044" s="284" t="s">
        <v>44</v>
      </c>
      <c r="H1044" s="285" t="s">
        <v>239</v>
      </c>
      <c r="I1044" s="257" t="s">
        <v>19</v>
      </c>
      <c r="J1044" s="257" t="s">
        <v>1739</v>
      </c>
      <c r="K1044" s="255" t="s">
        <v>21</v>
      </c>
    </row>
    <row r="1045" spans="1:17" ht="12.75" customHeight="1" x14ac:dyDescent="0.2">
      <c r="A1045" s="249">
        <v>38039</v>
      </c>
      <c r="B1045" s="250" t="s">
        <v>623</v>
      </c>
      <c r="C1045" s="251" t="s">
        <v>624</v>
      </c>
      <c r="D1045" s="251" t="s">
        <v>150</v>
      </c>
      <c r="E1045" s="251"/>
      <c r="F1045" s="252" t="s">
        <v>43</v>
      </c>
      <c r="G1045" s="253" t="s">
        <v>44</v>
      </c>
      <c r="H1045" s="254">
        <v>0</v>
      </c>
      <c r="I1045" s="251" t="s">
        <v>19</v>
      </c>
      <c r="J1045" s="251" t="s">
        <v>1739</v>
      </c>
      <c r="K1045" s="255" t="s">
        <v>21</v>
      </c>
    </row>
    <row r="1046" spans="1:17" ht="12.75" customHeight="1" x14ac:dyDescent="0.2">
      <c r="A1046" s="249">
        <v>38841</v>
      </c>
      <c r="B1046" s="250" t="s">
        <v>2251</v>
      </c>
      <c r="C1046" s="257" t="s">
        <v>793</v>
      </c>
      <c r="D1046" s="257" t="s">
        <v>2252</v>
      </c>
      <c r="E1046" s="257" t="s">
        <v>2374</v>
      </c>
      <c r="F1046" s="252" t="s">
        <v>43</v>
      </c>
      <c r="G1046" s="284" t="s">
        <v>44</v>
      </c>
      <c r="H1046" s="285" t="s">
        <v>51</v>
      </c>
      <c r="I1046" s="257" t="s">
        <v>19</v>
      </c>
      <c r="J1046" s="257" t="s">
        <v>1739</v>
      </c>
      <c r="K1046" s="255" t="s">
        <v>21</v>
      </c>
    </row>
    <row r="1047" spans="1:17" ht="12.75" customHeight="1" x14ac:dyDescent="0.2">
      <c r="A1047" s="249">
        <v>16939</v>
      </c>
      <c r="B1047" s="250" t="s">
        <v>2368</v>
      </c>
      <c r="C1047" s="257" t="s">
        <v>2369</v>
      </c>
      <c r="D1047" s="257" t="s">
        <v>494</v>
      </c>
      <c r="E1047" s="257" t="s">
        <v>2374</v>
      </c>
      <c r="F1047" s="252" t="s">
        <v>43</v>
      </c>
      <c r="G1047" s="284" t="s">
        <v>44</v>
      </c>
      <c r="H1047" s="285" t="s">
        <v>104</v>
      </c>
      <c r="I1047" s="257" t="s">
        <v>19</v>
      </c>
      <c r="J1047" s="257" t="s">
        <v>1739</v>
      </c>
      <c r="K1047" s="255" t="s">
        <v>21</v>
      </c>
    </row>
    <row r="1048" spans="1:17" ht="12.75" customHeight="1" x14ac:dyDescent="0.2">
      <c r="A1048" s="249">
        <v>16305</v>
      </c>
      <c r="B1048" s="250" t="s">
        <v>1750</v>
      </c>
      <c r="C1048" s="251" t="s">
        <v>1751</v>
      </c>
      <c r="D1048" s="251" t="s">
        <v>1752</v>
      </c>
      <c r="E1048" s="251"/>
      <c r="F1048" s="252" t="s">
        <v>43</v>
      </c>
      <c r="G1048" s="284" t="s">
        <v>44</v>
      </c>
      <c r="H1048" s="285"/>
      <c r="I1048" s="251" t="s">
        <v>19</v>
      </c>
      <c r="J1048" s="251" t="s">
        <v>1739</v>
      </c>
      <c r="K1048" s="255" t="s">
        <v>21</v>
      </c>
    </row>
    <row r="1049" spans="1:17" ht="12.75" customHeight="1" x14ac:dyDescent="0.2">
      <c r="A1049" s="249">
        <v>16300</v>
      </c>
      <c r="B1049" s="250" t="s">
        <v>1753</v>
      </c>
      <c r="C1049" s="251" t="s">
        <v>1751</v>
      </c>
      <c r="D1049" s="251" t="s">
        <v>1012</v>
      </c>
      <c r="E1049" s="251"/>
      <c r="F1049" s="252" t="s">
        <v>43</v>
      </c>
      <c r="G1049" s="284" t="s">
        <v>52</v>
      </c>
      <c r="H1049" s="285" t="s">
        <v>51</v>
      </c>
      <c r="I1049" s="251" t="s">
        <v>19</v>
      </c>
      <c r="J1049" s="251" t="s">
        <v>1739</v>
      </c>
      <c r="K1049" s="255" t="s">
        <v>21</v>
      </c>
    </row>
    <row r="1050" spans="1:17" ht="12.75" customHeight="1" x14ac:dyDescent="0.2">
      <c r="A1050" s="249">
        <v>38723</v>
      </c>
      <c r="B1050" s="250" t="s">
        <v>1935</v>
      </c>
      <c r="C1050" s="257" t="s">
        <v>1936</v>
      </c>
      <c r="D1050" s="257" t="s">
        <v>1375</v>
      </c>
      <c r="E1050" s="257" t="s">
        <v>2374</v>
      </c>
      <c r="F1050" s="252" t="s">
        <v>43</v>
      </c>
      <c r="G1050" s="284" t="s">
        <v>44</v>
      </c>
      <c r="H1050" s="285" t="s">
        <v>66</v>
      </c>
      <c r="I1050" s="257" t="s">
        <v>19</v>
      </c>
      <c r="J1050" s="257" t="s">
        <v>1739</v>
      </c>
      <c r="K1050" s="255" t="s">
        <v>21</v>
      </c>
      <c r="L1050" s="281"/>
      <c r="M1050" s="281"/>
      <c r="N1050" s="281"/>
      <c r="Q1050" s="283"/>
    </row>
    <row r="1051" spans="1:17" ht="12.75" customHeight="1" x14ac:dyDescent="0.2">
      <c r="A1051" s="249">
        <v>16301</v>
      </c>
      <c r="B1051" s="250" t="s">
        <v>1754</v>
      </c>
      <c r="C1051" s="251" t="s">
        <v>1755</v>
      </c>
      <c r="D1051" s="251" t="s">
        <v>1756</v>
      </c>
      <c r="E1051" s="251"/>
      <c r="F1051" s="252" t="s">
        <v>43</v>
      </c>
      <c r="G1051" s="284" t="s">
        <v>44</v>
      </c>
      <c r="H1051" s="285" t="s">
        <v>239</v>
      </c>
      <c r="I1051" s="251" t="s">
        <v>19</v>
      </c>
      <c r="J1051" s="251" t="s">
        <v>1739</v>
      </c>
      <c r="K1051" s="255" t="s">
        <v>21</v>
      </c>
    </row>
    <row r="1052" spans="1:17" ht="12.75" customHeight="1" x14ac:dyDescent="0.2">
      <c r="A1052" s="249">
        <v>16291</v>
      </c>
      <c r="B1052" s="250" t="s">
        <v>1757</v>
      </c>
      <c r="C1052" s="251" t="s">
        <v>1755</v>
      </c>
      <c r="D1052" s="251" t="s">
        <v>65</v>
      </c>
      <c r="E1052" s="251"/>
      <c r="F1052" s="252" t="s">
        <v>43</v>
      </c>
      <c r="G1052" s="284" t="s">
        <v>52</v>
      </c>
      <c r="H1052" s="285" t="s">
        <v>51</v>
      </c>
      <c r="I1052" s="251" t="s">
        <v>19</v>
      </c>
      <c r="J1052" s="251" t="s">
        <v>1739</v>
      </c>
      <c r="K1052" s="255" t="s">
        <v>21</v>
      </c>
    </row>
    <row r="1053" spans="1:17" ht="12.75" customHeight="1" x14ac:dyDescent="0.2">
      <c r="A1053" s="249">
        <v>38018</v>
      </c>
      <c r="B1053" s="250" t="s">
        <v>1758</v>
      </c>
      <c r="C1053" s="251" t="s">
        <v>1759</v>
      </c>
      <c r="D1053" s="251" t="s">
        <v>1760</v>
      </c>
      <c r="E1053" s="251"/>
      <c r="F1053" s="252" t="s">
        <v>43</v>
      </c>
      <c r="G1053" s="284" t="s">
        <v>44</v>
      </c>
      <c r="H1053" s="285" t="s">
        <v>180</v>
      </c>
      <c r="I1053" s="251" t="s">
        <v>19</v>
      </c>
      <c r="J1053" s="251" t="s">
        <v>1739</v>
      </c>
      <c r="K1053" s="255" t="s">
        <v>21</v>
      </c>
    </row>
    <row r="1054" spans="1:17" ht="12.75" customHeight="1" x14ac:dyDescent="0.2">
      <c r="A1054" s="249">
        <v>25025</v>
      </c>
      <c r="B1054" s="250" t="s">
        <v>2411</v>
      </c>
      <c r="C1054" s="257" t="s">
        <v>342</v>
      </c>
      <c r="D1054" s="257" t="s">
        <v>117</v>
      </c>
      <c r="E1054" s="257" t="s">
        <v>2374</v>
      </c>
      <c r="F1054" s="252" t="s">
        <v>43</v>
      </c>
      <c r="G1054" s="284" t="s">
        <v>67</v>
      </c>
      <c r="H1054" s="285"/>
      <c r="I1054" s="251" t="s">
        <v>1761</v>
      </c>
      <c r="J1054" s="257" t="s">
        <v>14</v>
      </c>
      <c r="K1054" s="255" t="s">
        <v>28</v>
      </c>
    </row>
    <row r="1055" spans="1:17" ht="12.75" customHeight="1" x14ac:dyDescent="0.2">
      <c r="A1055" s="249">
        <v>7338</v>
      </c>
      <c r="B1055" s="250" t="s">
        <v>1762</v>
      </c>
      <c r="C1055" s="251" t="s">
        <v>1763</v>
      </c>
      <c r="D1055" s="251" t="s">
        <v>99</v>
      </c>
      <c r="E1055" s="251"/>
      <c r="F1055" s="252" t="s">
        <v>43</v>
      </c>
      <c r="G1055" s="260" t="s">
        <v>58</v>
      </c>
      <c r="H1055" s="261">
        <v>0</v>
      </c>
      <c r="I1055" s="251" t="s">
        <v>1761</v>
      </c>
      <c r="J1055" s="251" t="s">
        <v>14</v>
      </c>
      <c r="K1055" s="255" t="s">
        <v>28</v>
      </c>
      <c r="L1055" s="281"/>
      <c r="M1055" s="281"/>
      <c r="N1055" s="281"/>
      <c r="Q1055" s="283"/>
    </row>
    <row r="1056" spans="1:17" ht="12.75" customHeight="1" x14ac:dyDescent="0.2">
      <c r="A1056" s="249">
        <v>38411</v>
      </c>
      <c r="B1056" s="250" t="s">
        <v>1764</v>
      </c>
      <c r="C1056" s="251" t="s">
        <v>1300</v>
      </c>
      <c r="D1056" s="251" t="s">
        <v>143</v>
      </c>
      <c r="E1056" s="251"/>
      <c r="F1056" s="252" t="s">
        <v>43</v>
      </c>
      <c r="G1056" s="284" t="s">
        <v>44</v>
      </c>
      <c r="H1056" s="285" t="s">
        <v>66</v>
      </c>
      <c r="I1056" s="251" t="s">
        <v>1761</v>
      </c>
      <c r="J1056" s="251" t="s">
        <v>14</v>
      </c>
      <c r="K1056" s="255" t="s">
        <v>28</v>
      </c>
    </row>
    <row r="1057" spans="1:17" ht="12.75" customHeight="1" x14ac:dyDescent="0.2">
      <c r="A1057" s="249">
        <v>7337</v>
      </c>
      <c r="B1057" s="250" t="s">
        <v>1765</v>
      </c>
      <c r="C1057" s="251" t="s">
        <v>1766</v>
      </c>
      <c r="D1057" s="251" t="s">
        <v>143</v>
      </c>
      <c r="E1057" s="251"/>
      <c r="F1057" s="252" t="s">
        <v>43</v>
      </c>
      <c r="G1057" s="284" t="s">
        <v>44</v>
      </c>
      <c r="H1057" s="285" t="s">
        <v>66</v>
      </c>
      <c r="I1057" s="251" t="s">
        <v>1761</v>
      </c>
      <c r="J1057" s="251" t="s">
        <v>14</v>
      </c>
      <c r="K1057" s="255" t="s">
        <v>28</v>
      </c>
    </row>
    <row r="1058" spans="1:17" ht="12.75" customHeight="1" x14ac:dyDescent="0.2">
      <c r="A1058" s="249">
        <v>38360</v>
      </c>
      <c r="B1058" s="250" t="s">
        <v>1767</v>
      </c>
      <c r="C1058" s="251" t="s">
        <v>1768</v>
      </c>
      <c r="D1058" s="251" t="s">
        <v>82</v>
      </c>
      <c r="E1058" s="251"/>
      <c r="F1058" s="252" t="s">
        <v>43</v>
      </c>
      <c r="G1058" s="284" t="s">
        <v>44</v>
      </c>
      <c r="H1058" s="285" t="s">
        <v>66</v>
      </c>
      <c r="I1058" s="251" t="s">
        <v>1761</v>
      </c>
      <c r="J1058" s="251" t="s">
        <v>14</v>
      </c>
      <c r="K1058" s="255" t="s">
        <v>28</v>
      </c>
    </row>
    <row r="1059" spans="1:17" ht="12.75" customHeight="1" x14ac:dyDescent="0.2">
      <c r="A1059" s="249">
        <v>7344</v>
      </c>
      <c r="B1059" s="250" t="s">
        <v>1769</v>
      </c>
      <c r="C1059" s="251" t="s">
        <v>1770</v>
      </c>
      <c r="D1059" s="251" t="s">
        <v>136</v>
      </c>
      <c r="E1059" s="251"/>
      <c r="F1059" s="252" t="s">
        <v>43</v>
      </c>
      <c r="G1059" s="284" t="s">
        <v>67</v>
      </c>
      <c r="H1059" s="285" t="s">
        <v>45</v>
      </c>
      <c r="I1059" s="251" t="s">
        <v>1761</v>
      </c>
      <c r="J1059" s="251" t="s">
        <v>14</v>
      </c>
      <c r="K1059" s="255" t="s">
        <v>28</v>
      </c>
    </row>
    <row r="1060" spans="1:17" ht="12.75" customHeight="1" x14ac:dyDescent="0.2">
      <c r="A1060" s="249">
        <v>25024</v>
      </c>
      <c r="B1060" s="250" t="s">
        <v>1771</v>
      </c>
      <c r="C1060" s="257" t="s">
        <v>1772</v>
      </c>
      <c r="D1060" s="257" t="s">
        <v>179</v>
      </c>
      <c r="E1060" s="257" t="s">
        <v>2374</v>
      </c>
      <c r="F1060" s="252" t="s">
        <v>43</v>
      </c>
      <c r="G1060" s="284" t="s">
        <v>67</v>
      </c>
      <c r="H1060" s="285" t="s">
        <v>45</v>
      </c>
      <c r="I1060" s="251" t="s">
        <v>1761</v>
      </c>
      <c r="J1060" s="257" t="s">
        <v>14</v>
      </c>
      <c r="K1060" s="255" t="s">
        <v>28</v>
      </c>
    </row>
    <row r="1061" spans="1:17" ht="12.75" customHeight="1" x14ac:dyDescent="0.2">
      <c r="A1061" s="249">
        <v>38361</v>
      </c>
      <c r="B1061" s="250" t="s">
        <v>1773</v>
      </c>
      <c r="C1061" s="251" t="s">
        <v>1774</v>
      </c>
      <c r="D1061" s="251" t="s">
        <v>64</v>
      </c>
      <c r="E1061" s="251"/>
      <c r="F1061" s="252" t="s">
        <v>43</v>
      </c>
      <c r="G1061" s="284" t="s">
        <v>44</v>
      </c>
      <c r="H1061" s="285" t="s">
        <v>66</v>
      </c>
      <c r="I1061" s="251" t="s">
        <v>1761</v>
      </c>
      <c r="J1061" s="251" t="s">
        <v>14</v>
      </c>
      <c r="K1061" s="255" t="s">
        <v>28</v>
      </c>
    </row>
    <row r="1062" spans="1:17" ht="12.75" customHeight="1" x14ac:dyDescent="0.2">
      <c r="A1062" s="249">
        <v>25606</v>
      </c>
      <c r="B1062" s="250" t="s">
        <v>2412</v>
      </c>
      <c r="C1062" s="257" t="s">
        <v>1698</v>
      </c>
      <c r="D1062" s="257" t="s">
        <v>120</v>
      </c>
      <c r="E1062" s="257" t="s">
        <v>2374</v>
      </c>
      <c r="F1062" s="252" t="s">
        <v>43</v>
      </c>
      <c r="G1062" s="284" t="s">
        <v>44</v>
      </c>
      <c r="H1062" s="285"/>
      <c r="I1062" s="257" t="s">
        <v>1761</v>
      </c>
      <c r="J1062" s="257" t="s">
        <v>14</v>
      </c>
      <c r="K1062" s="255" t="s">
        <v>28</v>
      </c>
    </row>
    <row r="1063" spans="1:17" ht="12.75" customHeight="1" x14ac:dyDescent="0.2">
      <c r="A1063" s="249">
        <v>38550</v>
      </c>
      <c r="B1063" s="250" t="s">
        <v>1775</v>
      </c>
      <c r="C1063" s="251" t="s">
        <v>1776</v>
      </c>
      <c r="D1063" s="251" t="s">
        <v>632</v>
      </c>
      <c r="E1063" s="251"/>
      <c r="F1063" s="252" t="s">
        <v>43</v>
      </c>
      <c r="G1063" s="284" t="s">
        <v>44</v>
      </c>
      <c r="H1063" s="285" t="s">
        <v>180</v>
      </c>
      <c r="I1063" s="251" t="s">
        <v>1761</v>
      </c>
      <c r="J1063" s="251" t="s">
        <v>14</v>
      </c>
      <c r="K1063" s="255" t="s">
        <v>28</v>
      </c>
    </row>
    <row r="1064" spans="1:17" ht="12.75" customHeight="1" x14ac:dyDescent="0.2">
      <c r="A1064" s="249">
        <v>7348</v>
      </c>
      <c r="B1064" s="250" t="s">
        <v>1777</v>
      </c>
      <c r="C1064" s="251" t="s">
        <v>1778</v>
      </c>
      <c r="D1064" s="251" t="s">
        <v>346</v>
      </c>
      <c r="E1064" s="251"/>
      <c r="F1064" s="252" t="s">
        <v>43</v>
      </c>
      <c r="G1064" s="284" t="s">
        <v>44</v>
      </c>
      <c r="H1064" s="285" t="s">
        <v>180</v>
      </c>
      <c r="I1064" s="251" t="s">
        <v>1761</v>
      </c>
      <c r="J1064" s="251" t="s">
        <v>14</v>
      </c>
      <c r="K1064" s="255" t="s">
        <v>28</v>
      </c>
      <c r="L1064" s="281"/>
      <c r="M1064" s="281"/>
      <c r="N1064" s="281"/>
      <c r="Q1064" s="283"/>
    </row>
    <row r="1065" spans="1:17" ht="12.75" customHeight="1" x14ac:dyDescent="0.2">
      <c r="A1065" s="249"/>
      <c r="B1065" s="250"/>
      <c r="C1065" s="251"/>
      <c r="D1065" s="251"/>
      <c r="E1065" s="251"/>
      <c r="F1065" s="252"/>
      <c r="G1065" s="253"/>
      <c r="H1065" s="254"/>
      <c r="I1065" s="251"/>
      <c r="J1065" s="251"/>
      <c r="K1065" s="255"/>
    </row>
    <row r="1066" spans="1:17" ht="12.75" customHeight="1" x14ac:dyDescent="0.2">
      <c r="A1066" s="249"/>
      <c r="B1066" s="250"/>
      <c r="C1066" s="257"/>
      <c r="D1066" s="257"/>
      <c r="E1066" s="257"/>
      <c r="F1066" s="252"/>
      <c r="G1066" s="253"/>
      <c r="H1066" s="254"/>
      <c r="I1066" s="257"/>
      <c r="J1066" s="257"/>
      <c r="K1066" s="255"/>
    </row>
    <row r="1067" spans="1:17" ht="12.75" customHeight="1" x14ac:dyDescent="0.2">
      <c r="A1067" s="249"/>
      <c r="B1067" s="250"/>
      <c r="C1067" s="251"/>
      <c r="D1067" s="251"/>
      <c r="E1067" s="251"/>
      <c r="F1067" s="252"/>
      <c r="G1067" s="260"/>
      <c r="H1067" s="261"/>
      <c r="I1067" s="251"/>
      <c r="J1067" s="251"/>
      <c r="K1067" s="255"/>
    </row>
    <row r="1068" spans="1:17" ht="12.75" customHeight="1" x14ac:dyDescent="0.2">
      <c r="A1068" s="249"/>
      <c r="B1068" s="250"/>
      <c r="C1068" s="257"/>
      <c r="D1068" s="257"/>
      <c r="E1068" s="257"/>
      <c r="F1068" s="252"/>
      <c r="G1068" s="253"/>
      <c r="H1068" s="254"/>
      <c r="I1068" s="257"/>
      <c r="J1068" s="257"/>
      <c r="K1068" s="255"/>
    </row>
    <row r="1069" spans="1:17" ht="12.75" customHeight="1" x14ac:dyDescent="0.2">
      <c r="A1069" s="249"/>
      <c r="B1069" s="250"/>
      <c r="C1069" s="257"/>
      <c r="D1069" s="257"/>
      <c r="E1069" s="257"/>
      <c r="F1069" s="252"/>
      <c r="G1069" s="253"/>
      <c r="H1069" s="254"/>
      <c r="I1069" s="257"/>
      <c r="J1069" s="257"/>
      <c r="K1069" s="255"/>
    </row>
    <row r="1070" spans="1:17" ht="12.75" customHeight="1" x14ac:dyDescent="0.2">
      <c r="A1070" s="249"/>
      <c r="B1070" s="250"/>
      <c r="C1070" s="251"/>
      <c r="D1070" s="251"/>
      <c r="E1070" s="251"/>
      <c r="F1070" s="252"/>
      <c r="G1070" s="253"/>
      <c r="H1070" s="254"/>
      <c r="I1070" s="251"/>
      <c r="J1070" s="251"/>
      <c r="K1070" s="255"/>
    </row>
    <row r="1071" spans="1:17" ht="12.75" customHeight="1" x14ac:dyDescent="0.2">
      <c r="A1071" s="249"/>
      <c r="B1071" s="250"/>
      <c r="C1071" s="251"/>
      <c r="D1071" s="251"/>
      <c r="E1071" s="251"/>
      <c r="F1071" s="252"/>
      <c r="G1071" s="253"/>
      <c r="H1071" s="254"/>
      <c r="I1071" s="251"/>
      <c r="J1071" s="251"/>
      <c r="K1071" s="255"/>
    </row>
    <row r="1072" spans="1:17" ht="12.75" customHeight="1" x14ac:dyDescent="0.2">
      <c r="A1072" s="249"/>
      <c r="B1072" s="250"/>
      <c r="C1072" s="257"/>
      <c r="D1072" s="257"/>
      <c r="E1072" s="257"/>
      <c r="F1072" s="252"/>
      <c r="G1072" s="253"/>
      <c r="H1072" s="254"/>
      <c r="I1072" s="257"/>
      <c r="J1072" s="257"/>
      <c r="K1072" s="255"/>
    </row>
    <row r="1073" spans="1:17" ht="12.75" customHeight="1" x14ac:dyDescent="0.2">
      <c r="A1073" s="249"/>
      <c r="B1073" s="250"/>
      <c r="C1073" s="251"/>
      <c r="D1073" s="251"/>
      <c r="E1073" s="251"/>
      <c r="F1073" s="252"/>
      <c r="G1073" s="258"/>
      <c r="H1073" s="259"/>
      <c r="I1073" s="251"/>
      <c r="J1073" s="251"/>
      <c r="K1073" s="255"/>
    </row>
    <row r="1074" spans="1:17" ht="12.75" customHeight="1" x14ac:dyDescent="0.2">
      <c r="A1074" s="249"/>
      <c r="B1074" s="250"/>
      <c r="C1074" s="251"/>
      <c r="D1074" s="251"/>
      <c r="E1074" s="251"/>
      <c r="F1074" s="252"/>
      <c r="G1074" s="258"/>
      <c r="H1074" s="259"/>
      <c r="I1074" s="251"/>
      <c r="J1074" s="251"/>
      <c r="K1074" s="255"/>
      <c r="L1074" s="281"/>
      <c r="M1074" s="281"/>
      <c r="N1074" s="281"/>
      <c r="Q1074" s="283"/>
    </row>
    <row r="1075" spans="1:17" ht="12.75" customHeight="1" x14ac:dyDescent="0.2">
      <c r="A1075" s="249"/>
      <c r="B1075" s="250"/>
      <c r="C1075" s="251"/>
      <c r="D1075" s="251"/>
      <c r="E1075" s="251"/>
      <c r="F1075" s="252"/>
      <c r="G1075" s="258"/>
      <c r="H1075" s="259"/>
      <c r="I1075" s="251"/>
      <c r="J1075" s="251"/>
      <c r="K1075" s="255"/>
      <c r="L1075" s="281"/>
      <c r="M1075" s="281"/>
      <c r="N1075" s="281"/>
      <c r="Q1075" s="283"/>
    </row>
    <row r="1076" spans="1:17" ht="12.75" customHeight="1" x14ac:dyDescent="0.2">
      <c r="A1076" s="249"/>
      <c r="B1076" s="250"/>
      <c r="C1076" s="257"/>
      <c r="D1076" s="257"/>
      <c r="E1076" s="257"/>
      <c r="F1076" s="252"/>
      <c r="G1076" s="253"/>
      <c r="H1076" s="254"/>
      <c r="I1076" s="257"/>
      <c r="J1076" s="257"/>
      <c r="K1076" s="255"/>
    </row>
    <row r="1077" spans="1:17" ht="12.75" customHeight="1" x14ac:dyDescent="0.2">
      <c r="A1077" s="249"/>
      <c r="B1077" s="250"/>
      <c r="C1077" s="257"/>
      <c r="D1077" s="257"/>
      <c r="E1077" s="257"/>
      <c r="F1077" s="252"/>
      <c r="G1077" s="253"/>
      <c r="H1077" s="254"/>
      <c r="I1077" s="257"/>
      <c r="J1077" s="257"/>
      <c r="K1077" s="255"/>
    </row>
    <row r="1078" spans="1:17" ht="12.75" customHeight="1" x14ac:dyDescent="0.2">
      <c r="A1078" s="249"/>
      <c r="B1078" s="250"/>
      <c r="C1078" s="251"/>
      <c r="D1078" s="251"/>
      <c r="E1078" s="251"/>
      <c r="F1078" s="252"/>
      <c r="G1078" s="253"/>
      <c r="H1078" s="254"/>
      <c r="I1078" s="251"/>
      <c r="J1078" s="251"/>
      <c r="K1078" s="255"/>
    </row>
    <row r="1079" spans="1:17" ht="12.75" customHeight="1" x14ac:dyDescent="0.2">
      <c r="A1079" s="249"/>
      <c r="B1079" s="250"/>
      <c r="C1079" s="257"/>
      <c r="D1079" s="257"/>
      <c r="E1079" s="257"/>
      <c r="F1079" s="252"/>
      <c r="G1079" s="253"/>
      <c r="H1079" s="254"/>
      <c r="I1079" s="257"/>
      <c r="J1079" s="257"/>
      <c r="K1079" s="255"/>
      <c r="L1079" s="281"/>
      <c r="M1079" s="281"/>
      <c r="N1079" s="281"/>
      <c r="Q1079" s="283"/>
    </row>
    <row r="1080" spans="1:17" ht="12.75" customHeight="1" x14ac:dyDescent="0.2">
      <c r="A1080" s="249"/>
      <c r="B1080" s="250"/>
      <c r="C1080" s="251"/>
      <c r="D1080" s="251"/>
      <c r="E1080" s="251"/>
      <c r="F1080" s="252"/>
      <c r="G1080" s="258"/>
      <c r="H1080" s="259"/>
      <c r="I1080" s="251"/>
      <c r="J1080" s="251"/>
      <c r="K1080" s="255"/>
      <c r="L1080" s="281"/>
      <c r="M1080" s="281"/>
      <c r="N1080" s="281"/>
      <c r="Q1080" s="283"/>
    </row>
    <row r="1081" spans="1:17" ht="12.75" customHeight="1" x14ac:dyDescent="0.2">
      <c r="A1081" s="249"/>
      <c r="B1081" s="250"/>
      <c r="C1081" s="251"/>
      <c r="D1081" s="251"/>
      <c r="E1081" s="251"/>
      <c r="F1081" s="252"/>
      <c r="G1081" s="258"/>
      <c r="H1081" s="259"/>
      <c r="I1081" s="251"/>
      <c r="J1081" s="251"/>
      <c r="K1081" s="255"/>
    </row>
    <row r="1082" spans="1:17" ht="12.75" customHeight="1" x14ac:dyDescent="0.2">
      <c r="A1082" s="249"/>
      <c r="B1082" s="250"/>
      <c r="C1082" s="251"/>
      <c r="D1082" s="251"/>
      <c r="E1082" s="251"/>
      <c r="F1082" s="252"/>
      <c r="G1082" s="258"/>
      <c r="H1082" s="259"/>
      <c r="I1082" s="251"/>
      <c r="J1082" s="251"/>
      <c r="K1082" s="255"/>
    </row>
    <row r="1083" spans="1:17" ht="12.75" customHeight="1" x14ac:dyDescent="0.2">
      <c r="A1083" s="249"/>
      <c r="B1083" s="250"/>
      <c r="C1083" s="257"/>
      <c r="D1083" s="257"/>
      <c r="E1083" s="257"/>
      <c r="F1083" s="252"/>
      <c r="G1083" s="253"/>
      <c r="H1083" s="254"/>
      <c r="I1083" s="257"/>
      <c r="J1083" s="257"/>
      <c r="K1083" s="255"/>
    </row>
    <row r="1084" spans="1:17" ht="12.75" customHeight="1" x14ac:dyDescent="0.2">
      <c r="A1084" s="249"/>
      <c r="B1084" s="250"/>
      <c r="C1084" s="251"/>
      <c r="D1084" s="251"/>
      <c r="E1084" s="251"/>
      <c r="F1084" s="252"/>
      <c r="G1084" s="253"/>
      <c r="H1084" s="254"/>
      <c r="I1084" s="251"/>
      <c r="J1084" s="251"/>
      <c r="K1084" s="255"/>
    </row>
    <row r="1085" spans="1:17" ht="12.75" customHeight="1" x14ac:dyDescent="0.2">
      <c r="A1085" s="249"/>
      <c r="B1085" s="250"/>
      <c r="C1085" s="251"/>
      <c r="D1085" s="251"/>
      <c r="E1085" s="251"/>
      <c r="F1085" s="252"/>
      <c r="G1085" s="253"/>
      <c r="H1085" s="254"/>
      <c r="I1085" s="251"/>
      <c r="J1085" s="251"/>
      <c r="K1085" s="255"/>
    </row>
    <row r="1086" spans="1:17" ht="12.75" customHeight="1" x14ac:dyDescent="0.2">
      <c r="A1086" s="249"/>
      <c r="B1086" s="250"/>
      <c r="C1086" s="251"/>
      <c r="D1086" s="251"/>
      <c r="E1086" s="251"/>
      <c r="F1086" s="252"/>
      <c r="G1086" s="258"/>
      <c r="H1086" s="259"/>
      <c r="I1086" s="251"/>
      <c r="J1086" s="251"/>
      <c r="K1086" s="255"/>
    </row>
    <row r="1087" spans="1:17" ht="12.75" customHeight="1" x14ac:dyDescent="0.2">
      <c r="A1087" s="249"/>
      <c r="B1087" s="250"/>
      <c r="C1087" s="251"/>
      <c r="D1087" s="251"/>
      <c r="E1087" s="251"/>
      <c r="F1087" s="252"/>
      <c r="G1087" s="258"/>
      <c r="H1087" s="259"/>
      <c r="I1087" s="251"/>
      <c r="J1087" s="251"/>
      <c r="K1087" s="255"/>
    </row>
    <row r="1088" spans="1:17" ht="12.75" customHeight="1" x14ac:dyDescent="0.2">
      <c r="A1088" s="249"/>
      <c r="B1088" s="250"/>
      <c r="C1088" s="251"/>
      <c r="D1088" s="251"/>
      <c r="E1088" s="251"/>
      <c r="F1088" s="252"/>
      <c r="G1088" s="258"/>
      <c r="H1088" s="259"/>
      <c r="I1088" s="251"/>
      <c r="J1088" s="251"/>
      <c r="K1088" s="255"/>
    </row>
    <row r="1089" spans="1:17" ht="12.75" customHeight="1" x14ac:dyDescent="0.2">
      <c r="A1089" s="249"/>
      <c r="B1089" s="250"/>
      <c r="C1089" s="251"/>
      <c r="D1089" s="251"/>
      <c r="E1089" s="251"/>
      <c r="F1089" s="252"/>
      <c r="G1089" s="260"/>
      <c r="H1089" s="261"/>
      <c r="I1089" s="251"/>
      <c r="J1089" s="251"/>
      <c r="K1089" s="255"/>
    </row>
    <row r="1090" spans="1:17" ht="12.75" customHeight="1" x14ac:dyDescent="0.2">
      <c r="A1090" s="249"/>
      <c r="B1090" s="250"/>
      <c r="C1090" s="251"/>
      <c r="D1090" s="251"/>
      <c r="E1090" s="251"/>
      <c r="F1090" s="252"/>
      <c r="G1090" s="253"/>
      <c r="H1090" s="254"/>
      <c r="I1090" s="251"/>
      <c r="J1090" s="251"/>
      <c r="K1090" s="255"/>
    </row>
    <row r="1091" spans="1:17" ht="12.75" customHeight="1" x14ac:dyDescent="0.2">
      <c r="A1091" s="249"/>
      <c r="B1091" s="250"/>
      <c r="C1091" s="251"/>
      <c r="D1091" s="251"/>
      <c r="E1091" s="251"/>
      <c r="F1091" s="252"/>
      <c r="G1091" s="253"/>
      <c r="H1091" s="254"/>
      <c r="I1091" s="251"/>
      <c r="J1091" s="251"/>
      <c r="K1091" s="255"/>
    </row>
    <row r="1092" spans="1:17" ht="12.75" customHeight="1" x14ac:dyDescent="0.2">
      <c r="A1092" s="249"/>
      <c r="B1092" s="250"/>
      <c r="C1092" s="251"/>
      <c r="D1092" s="251"/>
      <c r="E1092" s="251"/>
      <c r="F1092" s="252"/>
      <c r="G1092" s="253"/>
      <c r="H1092" s="254"/>
      <c r="I1092" s="251"/>
      <c r="J1092" s="251"/>
      <c r="K1092" s="255"/>
    </row>
    <row r="1093" spans="1:17" ht="12.75" customHeight="1" x14ac:dyDescent="0.2">
      <c r="A1093" s="249"/>
      <c r="B1093" s="250"/>
      <c r="C1093" s="251"/>
      <c r="D1093" s="251"/>
      <c r="E1093" s="251"/>
      <c r="F1093" s="252"/>
      <c r="G1093" s="253"/>
      <c r="H1093" s="254"/>
      <c r="I1093" s="251"/>
      <c r="J1093" s="251"/>
      <c r="K1093" s="255"/>
      <c r="L1093" s="281"/>
      <c r="M1093" s="281"/>
      <c r="N1093" s="281"/>
      <c r="Q1093" s="283"/>
    </row>
    <row r="1094" spans="1:17" ht="12.75" customHeight="1" x14ac:dyDescent="0.2">
      <c r="A1094" s="249"/>
      <c r="B1094" s="250"/>
      <c r="C1094" s="251"/>
      <c r="D1094" s="251"/>
      <c r="E1094" s="251"/>
      <c r="F1094" s="252"/>
      <c r="G1094" s="253"/>
      <c r="H1094" s="254"/>
      <c r="I1094" s="251"/>
      <c r="J1094" s="251"/>
      <c r="K1094" s="255"/>
    </row>
    <row r="1095" spans="1:17" ht="12.75" customHeight="1" x14ac:dyDescent="0.2">
      <c r="A1095" s="249"/>
      <c r="B1095" s="250"/>
      <c r="C1095" s="251"/>
      <c r="D1095" s="251"/>
      <c r="E1095" s="251"/>
      <c r="F1095" s="252"/>
      <c r="G1095" s="253"/>
      <c r="H1095" s="254"/>
      <c r="I1095" s="251"/>
      <c r="J1095" s="251"/>
      <c r="K1095" s="255"/>
    </row>
    <row r="1096" spans="1:17" ht="12.75" customHeight="1" x14ac:dyDescent="0.2">
      <c r="A1096" s="249"/>
      <c r="B1096" s="250"/>
      <c r="C1096" s="251"/>
      <c r="D1096" s="251"/>
      <c r="E1096" s="251"/>
      <c r="F1096" s="252"/>
      <c r="G1096" s="253"/>
      <c r="H1096" s="254"/>
      <c r="I1096" s="251"/>
      <c r="J1096" s="251"/>
      <c r="K1096" s="255"/>
      <c r="L1096" s="281"/>
      <c r="M1096" s="281"/>
      <c r="N1096" s="281"/>
      <c r="Q1096" s="283"/>
    </row>
    <row r="1097" spans="1:17" ht="12.75" customHeight="1" x14ac:dyDescent="0.2">
      <c r="A1097" s="249"/>
      <c r="B1097" s="250"/>
      <c r="C1097" s="251"/>
      <c r="D1097" s="251"/>
      <c r="E1097" s="251"/>
      <c r="F1097" s="252"/>
      <c r="G1097" s="253"/>
      <c r="H1097" s="254"/>
      <c r="I1097" s="251"/>
      <c r="J1097" s="251"/>
      <c r="K1097" s="255"/>
    </row>
    <row r="1098" spans="1:17" ht="12" x14ac:dyDescent="0.2">
      <c r="A1098" s="249"/>
      <c r="B1098" s="250"/>
      <c r="C1098" s="251"/>
      <c r="D1098" s="251"/>
      <c r="E1098" s="251"/>
      <c r="F1098" s="252"/>
      <c r="G1098" s="253"/>
      <c r="H1098" s="254"/>
      <c r="I1098" s="251"/>
      <c r="J1098" s="251"/>
      <c r="K1098" s="255"/>
    </row>
    <row r="1099" spans="1:17" ht="12" x14ac:dyDescent="0.2">
      <c r="A1099" s="249"/>
      <c r="B1099" s="250"/>
      <c r="C1099" s="251"/>
      <c r="D1099" s="251"/>
      <c r="E1099" s="251"/>
      <c r="F1099" s="252"/>
      <c r="G1099" s="253"/>
      <c r="H1099" s="254"/>
      <c r="I1099" s="251"/>
      <c r="J1099" s="251"/>
      <c r="K1099" s="255"/>
    </row>
    <row r="1100" spans="1:17" ht="12" x14ac:dyDescent="0.2">
      <c r="A1100" s="249"/>
      <c r="B1100" s="250"/>
      <c r="C1100" s="251"/>
      <c r="D1100" s="251"/>
      <c r="E1100" s="251"/>
      <c r="F1100" s="252"/>
      <c r="G1100" s="253"/>
      <c r="H1100" s="254"/>
      <c r="I1100" s="251"/>
      <c r="J1100" s="251"/>
      <c r="K1100" s="255"/>
      <c r="L1100" s="281"/>
      <c r="M1100" s="281"/>
      <c r="N1100" s="281"/>
      <c r="Q1100" s="283"/>
    </row>
    <row r="1101" spans="1:17" ht="12" x14ac:dyDescent="0.2">
      <c r="A1101" s="249"/>
      <c r="B1101" s="250"/>
      <c r="C1101" s="251"/>
      <c r="D1101" s="251"/>
      <c r="E1101" s="251"/>
      <c r="F1101" s="252"/>
      <c r="G1101" s="253"/>
      <c r="H1101" s="254"/>
      <c r="I1101" s="251"/>
      <c r="J1101" s="251"/>
      <c r="K1101" s="255"/>
      <c r="L1101" s="281"/>
      <c r="M1101" s="281"/>
      <c r="N1101" s="281"/>
      <c r="Q1101" s="283"/>
    </row>
    <row r="1102" spans="1:17" ht="12" x14ac:dyDescent="0.2">
      <c r="A1102" s="249"/>
      <c r="B1102" s="250"/>
      <c r="C1102" s="257"/>
      <c r="D1102" s="257"/>
      <c r="E1102" s="257"/>
      <c r="F1102" s="252"/>
      <c r="G1102" s="253"/>
      <c r="H1102" s="254"/>
      <c r="I1102" s="257"/>
      <c r="J1102" s="257"/>
      <c r="K1102" s="255"/>
    </row>
    <row r="1103" spans="1:17" ht="12" x14ac:dyDescent="0.2">
      <c r="A1103" s="249"/>
      <c r="B1103" s="250"/>
      <c r="C1103" s="251"/>
      <c r="D1103" s="251"/>
      <c r="E1103" s="251"/>
      <c r="F1103" s="252"/>
      <c r="G1103" s="258"/>
      <c r="H1103" s="259"/>
      <c r="I1103" s="251"/>
      <c r="J1103" s="251"/>
      <c r="K1103" s="255"/>
      <c r="L1103" s="281"/>
      <c r="M1103" s="281"/>
      <c r="N1103" s="281"/>
      <c r="Q1103" s="283"/>
    </row>
    <row r="1104" spans="1:17" ht="12" x14ac:dyDescent="0.2">
      <c r="A1104" s="249"/>
      <c r="B1104" s="250"/>
      <c r="C1104" s="251"/>
      <c r="D1104" s="251"/>
      <c r="E1104" s="251"/>
      <c r="F1104" s="252"/>
      <c r="G1104" s="253"/>
      <c r="H1104" s="254"/>
      <c r="I1104" s="251"/>
      <c r="J1104" s="251"/>
      <c r="K1104" s="255"/>
      <c r="L1104" s="281"/>
      <c r="M1104" s="281"/>
      <c r="N1104" s="281"/>
      <c r="Q1104" s="283"/>
    </row>
    <row r="1105" spans="1:17" ht="12" x14ac:dyDescent="0.2">
      <c r="A1105" s="249"/>
      <c r="B1105" s="250"/>
      <c r="C1105" s="251"/>
      <c r="D1105" s="251"/>
      <c r="E1105" s="251"/>
      <c r="F1105" s="252"/>
      <c r="G1105" s="253"/>
      <c r="H1105" s="254"/>
      <c r="I1105" s="251"/>
      <c r="J1105" s="251"/>
      <c r="K1105" s="255"/>
      <c r="L1105" s="281"/>
      <c r="M1105" s="281"/>
      <c r="N1105" s="281"/>
      <c r="Q1105" s="283"/>
    </row>
    <row r="1106" spans="1:17" ht="12" x14ac:dyDescent="0.2">
      <c r="A1106" s="249"/>
      <c r="B1106" s="250"/>
      <c r="C1106" s="251"/>
      <c r="D1106" s="251"/>
      <c r="E1106" s="251"/>
      <c r="F1106" s="252"/>
      <c r="G1106" s="253"/>
      <c r="H1106" s="254"/>
      <c r="I1106" s="251"/>
      <c r="J1106" s="251"/>
      <c r="K1106" s="255"/>
      <c r="L1106" s="281"/>
      <c r="M1106" s="281"/>
      <c r="N1106" s="281"/>
      <c r="Q1106" s="283"/>
    </row>
    <row r="1107" spans="1:17" ht="12" x14ac:dyDescent="0.2">
      <c r="A1107" s="249"/>
      <c r="B1107" s="250"/>
      <c r="C1107" s="251"/>
      <c r="D1107" s="251"/>
      <c r="E1107" s="251"/>
      <c r="F1107" s="252"/>
      <c r="G1107" s="258"/>
      <c r="H1107" s="259"/>
      <c r="I1107" s="251"/>
      <c r="J1107" s="251"/>
      <c r="K1107" s="255"/>
    </row>
    <row r="1108" spans="1:17" ht="12" x14ac:dyDescent="0.2">
      <c r="A1108" s="249"/>
      <c r="B1108" s="250"/>
      <c r="C1108" s="251"/>
      <c r="D1108" s="251"/>
      <c r="E1108" s="251"/>
      <c r="F1108" s="252"/>
      <c r="G1108" s="253"/>
      <c r="H1108" s="254"/>
      <c r="I1108" s="251"/>
      <c r="J1108" s="251"/>
      <c r="K1108" s="255"/>
    </row>
    <row r="1109" spans="1:17" ht="12" x14ac:dyDescent="0.2">
      <c r="A1109" s="249"/>
      <c r="B1109" s="250"/>
      <c r="C1109" s="251"/>
      <c r="D1109" s="251"/>
      <c r="E1109" s="251"/>
      <c r="F1109" s="252"/>
      <c r="G1109" s="258"/>
      <c r="H1109" s="259"/>
      <c r="I1109" s="251"/>
      <c r="J1109" s="251"/>
      <c r="K1109" s="255"/>
    </row>
    <row r="1110" spans="1:17" ht="12" x14ac:dyDescent="0.2">
      <c r="A1110" s="249"/>
      <c r="B1110" s="250"/>
      <c r="C1110" s="251"/>
      <c r="D1110" s="251"/>
      <c r="E1110" s="251"/>
      <c r="F1110" s="252"/>
      <c r="G1110" s="258"/>
      <c r="H1110" s="259"/>
      <c r="I1110" s="251"/>
      <c r="J1110" s="251"/>
      <c r="K1110" s="255"/>
    </row>
    <row r="1111" spans="1:17" ht="12" x14ac:dyDescent="0.2">
      <c r="A1111" s="249"/>
      <c r="B1111" s="250"/>
      <c r="C1111" s="257"/>
      <c r="D1111" s="257"/>
      <c r="E1111" s="257"/>
      <c r="F1111" s="252"/>
      <c r="G1111" s="253"/>
      <c r="H1111" s="254"/>
      <c r="I1111" s="257"/>
      <c r="J1111" s="257"/>
      <c r="K1111" s="255"/>
    </row>
    <row r="1112" spans="1:17" ht="12" x14ac:dyDescent="0.2">
      <c r="A1112" s="249"/>
      <c r="B1112" s="250"/>
      <c r="C1112" s="257"/>
      <c r="D1112" s="257"/>
      <c r="E1112" s="257"/>
      <c r="F1112" s="252"/>
      <c r="G1112" s="253"/>
      <c r="H1112" s="254"/>
      <c r="I1112" s="257"/>
      <c r="J1112" s="257"/>
      <c r="K1112" s="255"/>
    </row>
    <row r="1113" spans="1:17" ht="12" x14ac:dyDescent="0.2">
      <c r="A1113" s="249"/>
      <c r="B1113" s="250"/>
      <c r="C1113" s="257"/>
      <c r="D1113" s="257"/>
      <c r="E1113" s="257"/>
      <c r="F1113" s="252"/>
      <c r="G1113" s="253"/>
      <c r="H1113" s="254"/>
      <c r="I1113" s="257"/>
      <c r="J1113" s="257"/>
      <c r="K1113" s="255"/>
    </row>
    <row r="1114" spans="1:17" ht="12" x14ac:dyDescent="0.2">
      <c r="A1114" s="249"/>
      <c r="B1114" s="250"/>
      <c r="C1114" s="257"/>
      <c r="D1114" s="257"/>
      <c r="E1114" s="257"/>
      <c r="F1114" s="252"/>
      <c r="G1114" s="253"/>
      <c r="H1114" s="254"/>
      <c r="I1114" s="257"/>
      <c r="J1114" s="257"/>
      <c r="K1114" s="255"/>
    </row>
    <row r="1115" spans="1:17" ht="12" x14ac:dyDescent="0.2">
      <c r="A1115" s="249"/>
      <c r="B1115" s="250"/>
      <c r="C1115" s="251"/>
      <c r="D1115" s="251"/>
      <c r="E1115" s="251"/>
      <c r="F1115" s="252"/>
      <c r="G1115" s="253"/>
      <c r="H1115" s="254"/>
      <c r="I1115" s="251"/>
      <c r="J1115" s="251"/>
      <c r="K1115" s="255"/>
    </row>
    <row r="1116" spans="1:17" ht="12" x14ac:dyDescent="0.2">
      <c r="A1116" s="249"/>
      <c r="B1116" s="250"/>
      <c r="C1116" s="251"/>
      <c r="D1116" s="251"/>
      <c r="E1116" s="251"/>
      <c r="F1116" s="252"/>
      <c r="G1116" s="253"/>
      <c r="H1116" s="254"/>
      <c r="I1116" s="251"/>
      <c r="J1116" s="251"/>
      <c r="K1116" s="255"/>
    </row>
    <row r="1117" spans="1:17" ht="12" x14ac:dyDescent="0.2">
      <c r="A1117" s="249"/>
      <c r="B1117" s="250"/>
      <c r="C1117" s="257"/>
      <c r="D1117" s="257"/>
      <c r="E1117" s="257"/>
      <c r="F1117" s="252"/>
      <c r="G1117" s="253"/>
      <c r="H1117" s="254"/>
      <c r="I1117" s="257"/>
      <c r="J1117" s="257"/>
      <c r="K1117" s="255"/>
    </row>
    <row r="1118" spans="1:17" ht="12" x14ac:dyDescent="0.2">
      <c r="A1118" s="249"/>
      <c r="B1118" s="250"/>
      <c r="C1118" s="257"/>
      <c r="D1118" s="257"/>
      <c r="E1118" s="257"/>
      <c r="F1118" s="252"/>
      <c r="G1118" s="253"/>
      <c r="H1118" s="254"/>
      <c r="I1118" s="257"/>
      <c r="J1118" s="257"/>
      <c r="K1118" s="255"/>
    </row>
    <row r="1119" spans="1:17" ht="12" x14ac:dyDescent="0.2">
      <c r="A1119" s="249"/>
      <c r="B1119" s="250"/>
      <c r="C1119" s="251"/>
      <c r="D1119" s="251"/>
      <c r="E1119" s="251"/>
      <c r="F1119" s="252"/>
      <c r="G1119" s="253"/>
      <c r="H1119" s="254"/>
      <c r="I1119" s="251"/>
      <c r="J1119" s="251"/>
      <c r="K1119" s="255"/>
    </row>
    <row r="1120" spans="1:17" ht="12" x14ac:dyDescent="0.2">
      <c r="A1120" s="249"/>
      <c r="B1120" s="250"/>
      <c r="C1120" s="257"/>
      <c r="D1120" s="257"/>
      <c r="E1120" s="257"/>
      <c r="F1120" s="252"/>
      <c r="G1120" s="253"/>
      <c r="H1120" s="254"/>
      <c r="I1120" s="257"/>
      <c r="J1120" s="257"/>
      <c r="K1120" s="255"/>
    </row>
    <row r="1121" spans="1:17" ht="12" x14ac:dyDescent="0.2">
      <c r="A1121" s="249"/>
      <c r="B1121" s="250"/>
      <c r="C1121" s="257"/>
      <c r="D1121" s="257"/>
      <c r="E1121" s="257"/>
      <c r="F1121" s="252"/>
      <c r="G1121" s="253"/>
      <c r="H1121" s="254"/>
      <c r="I1121" s="257"/>
      <c r="J1121" s="257"/>
      <c r="K1121" s="255"/>
    </row>
    <row r="1122" spans="1:17" ht="12" x14ac:dyDescent="0.2">
      <c r="A1122" s="249"/>
      <c r="B1122" s="250"/>
      <c r="C1122" s="257"/>
      <c r="D1122" s="257"/>
      <c r="E1122" s="257"/>
      <c r="F1122" s="252"/>
      <c r="G1122" s="253"/>
      <c r="H1122" s="254"/>
      <c r="I1122" s="257"/>
      <c r="J1122" s="257"/>
      <c r="K1122" s="255"/>
    </row>
    <row r="1123" spans="1:17" ht="12" x14ac:dyDescent="0.2">
      <c r="A1123" s="249"/>
      <c r="B1123" s="250"/>
      <c r="C1123" s="251"/>
      <c r="D1123" s="251"/>
      <c r="E1123" s="251"/>
      <c r="F1123" s="252"/>
      <c r="G1123" s="253"/>
      <c r="H1123" s="254"/>
      <c r="I1123" s="251"/>
      <c r="J1123" s="251"/>
      <c r="K1123" s="255"/>
      <c r="L1123" s="281"/>
      <c r="M1123" s="281"/>
      <c r="N1123" s="281"/>
      <c r="Q1123" s="283"/>
    </row>
    <row r="1124" spans="1:17" ht="12" x14ac:dyDescent="0.2">
      <c r="A1124" s="249"/>
      <c r="B1124" s="250"/>
      <c r="C1124" s="257"/>
      <c r="D1124" s="257"/>
      <c r="E1124" s="257"/>
      <c r="F1124" s="252"/>
      <c r="G1124" s="253"/>
      <c r="H1124" s="254"/>
      <c r="I1124" s="257"/>
      <c r="J1124" s="257"/>
      <c r="K1124" s="255"/>
    </row>
    <row r="1125" spans="1:17" ht="12" x14ac:dyDescent="0.2">
      <c r="A1125" s="249"/>
      <c r="B1125" s="250"/>
      <c r="C1125" s="257"/>
      <c r="D1125" s="257"/>
      <c r="E1125" s="257"/>
      <c r="F1125" s="252"/>
      <c r="G1125" s="253"/>
      <c r="H1125" s="254"/>
      <c r="I1125" s="257"/>
      <c r="J1125" s="257"/>
      <c r="K1125" s="255"/>
    </row>
    <row r="1126" spans="1:17" ht="12" x14ac:dyDescent="0.2">
      <c r="A1126" s="249"/>
      <c r="B1126" s="250"/>
      <c r="C1126" s="257"/>
      <c r="D1126" s="257"/>
      <c r="E1126" s="257"/>
      <c r="F1126" s="252"/>
      <c r="G1126" s="253"/>
      <c r="H1126" s="254"/>
      <c r="I1126" s="257"/>
      <c r="J1126" s="257"/>
      <c r="K1126" s="255"/>
      <c r="L1126" s="281"/>
      <c r="M1126" s="281"/>
      <c r="N1126" s="281"/>
      <c r="Q1126" s="283"/>
    </row>
    <row r="1127" spans="1:17" ht="12" x14ac:dyDescent="0.2">
      <c r="A1127" s="249"/>
      <c r="B1127" s="250"/>
      <c r="C1127" s="251"/>
      <c r="D1127" s="251"/>
      <c r="E1127" s="251"/>
      <c r="F1127" s="252"/>
      <c r="G1127" s="253"/>
      <c r="H1127" s="254"/>
      <c r="I1127" s="251"/>
      <c r="J1127" s="251"/>
      <c r="K1127" s="255"/>
      <c r="L1127" s="281"/>
      <c r="M1127" s="281"/>
      <c r="N1127" s="281"/>
      <c r="Q1127" s="283"/>
    </row>
    <row r="1128" spans="1:17" ht="12" x14ac:dyDescent="0.2">
      <c r="A1128" s="249"/>
      <c r="B1128" s="250"/>
      <c r="C1128" s="251"/>
      <c r="D1128" s="251"/>
      <c r="E1128" s="251"/>
      <c r="F1128" s="252"/>
      <c r="G1128" s="253"/>
      <c r="H1128" s="254"/>
      <c r="I1128" s="251"/>
      <c r="J1128" s="251"/>
      <c r="K1128" s="255"/>
    </row>
    <row r="1129" spans="1:17" ht="12" x14ac:dyDescent="0.2">
      <c r="A1129" s="249"/>
      <c r="B1129" s="250"/>
      <c r="C1129" s="257"/>
      <c r="D1129" s="257"/>
      <c r="E1129" s="257"/>
      <c r="F1129" s="252"/>
      <c r="G1129" s="253"/>
      <c r="H1129" s="254"/>
      <c r="I1129" s="257"/>
      <c r="J1129" s="257"/>
      <c r="K1129" s="255"/>
    </row>
    <row r="1130" spans="1:17" ht="12" x14ac:dyDescent="0.2">
      <c r="A1130" s="249"/>
      <c r="B1130" s="250"/>
      <c r="C1130" s="251"/>
      <c r="D1130" s="251"/>
      <c r="E1130" s="251"/>
      <c r="F1130" s="252"/>
      <c r="G1130" s="253"/>
      <c r="H1130" s="254"/>
      <c r="I1130" s="251"/>
      <c r="J1130" s="251"/>
      <c r="K1130" s="255"/>
    </row>
    <row r="1131" spans="1:17" ht="12" x14ac:dyDescent="0.2">
      <c r="A1131" s="249"/>
      <c r="B1131" s="250"/>
      <c r="C1131" s="251"/>
      <c r="D1131" s="251"/>
      <c r="E1131" s="251"/>
      <c r="F1131" s="252"/>
      <c r="G1131" s="253"/>
      <c r="H1131" s="254"/>
      <c r="I1131" s="251"/>
      <c r="J1131" s="251"/>
      <c r="K1131" s="255"/>
    </row>
    <row r="1132" spans="1:17" ht="12" x14ac:dyDescent="0.2">
      <c r="A1132" s="249"/>
      <c r="B1132" s="250"/>
      <c r="C1132" s="251"/>
      <c r="D1132" s="251"/>
      <c r="E1132" s="251"/>
      <c r="F1132" s="252"/>
      <c r="G1132" s="253"/>
      <c r="H1132" s="254"/>
      <c r="I1132" s="251"/>
      <c r="J1132" s="251"/>
      <c r="K1132" s="255"/>
    </row>
    <row r="1133" spans="1:17" ht="12" x14ac:dyDescent="0.2">
      <c r="A1133" s="249"/>
      <c r="B1133" s="250"/>
      <c r="C1133" s="251"/>
      <c r="D1133" s="251"/>
      <c r="E1133" s="251"/>
      <c r="F1133" s="252"/>
      <c r="G1133" s="253"/>
      <c r="H1133" s="254"/>
      <c r="I1133" s="251"/>
      <c r="J1133" s="251"/>
      <c r="K1133" s="255"/>
    </row>
    <row r="1134" spans="1:17" ht="12" x14ac:dyDescent="0.2">
      <c r="A1134" s="249"/>
      <c r="B1134" s="250"/>
      <c r="C1134" s="257"/>
      <c r="D1134" s="257"/>
      <c r="E1134" s="257"/>
      <c r="F1134" s="252"/>
      <c r="G1134" s="253"/>
      <c r="H1134" s="254"/>
      <c r="I1134" s="251"/>
      <c r="J1134" s="257"/>
      <c r="K1134" s="255"/>
    </row>
    <row r="1135" spans="1:17" ht="12" x14ac:dyDescent="0.2">
      <c r="A1135" s="249"/>
      <c r="B1135" s="250"/>
      <c r="C1135" s="251"/>
      <c r="D1135" s="251"/>
      <c r="E1135" s="251"/>
      <c r="F1135" s="252"/>
      <c r="G1135" s="260"/>
      <c r="H1135" s="261"/>
      <c r="I1135" s="251"/>
      <c r="J1135" s="251"/>
      <c r="K1135" s="255"/>
    </row>
    <row r="1136" spans="1:17" ht="11.25" customHeight="1" x14ac:dyDescent="0.2">
      <c r="A1136" s="249"/>
      <c r="B1136" s="250"/>
      <c r="C1136" s="251"/>
      <c r="D1136" s="251"/>
      <c r="E1136" s="251"/>
      <c r="F1136" s="252"/>
      <c r="G1136" s="253"/>
      <c r="H1136" s="254"/>
      <c r="I1136" s="251"/>
      <c r="J1136" s="251"/>
      <c r="K1136" s="255"/>
      <c r="L1136" s="281"/>
      <c r="M1136" s="281"/>
      <c r="N1136" s="281"/>
      <c r="Q1136" s="283"/>
    </row>
    <row r="1137" spans="1:17" ht="12" x14ac:dyDescent="0.2">
      <c r="A1137" s="249"/>
      <c r="B1137" s="250"/>
      <c r="C1137" s="251"/>
      <c r="D1137" s="251"/>
      <c r="E1137" s="251"/>
      <c r="F1137" s="252"/>
      <c r="G1137" s="253"/>
      <c r="H1137" s="254"/>
      <c r="I1137" s="251"/>
      <c r="J1137" s="251"/>
      <c r="K1137" s="255"/>
      <c r="L1137" s="281"/>
      <c r="M1137" s="281"/>
      <c r="N1137" s="281"/>
      <c r="Q1137" s="283"/>
    </row>
    <row r="1138" spans="1:17" ht="12" x14ac:dyDescent="0.2">
      <c r="A1138" s="249"/>
      <c r="B1138" s="250"/>
      <c r="C1138" s="251"/>
      <c r="D1138" s="251"/>
      <c r="E1138" s="251"/>
      <c r="F1138" s="252"/>
      <c r="G1138" s="253"/>
      <c r="H1138" s="254"/>
      <c r="I1138" s="251"/>
      <c r="J1138" s="251"/>
      <c r="K1138" s="255"/>
      <c r="L1138" s="281"/>
      <c r="M1138" s="281"/>
      <c r="N1138" s="281"/>
      <c r="Q1138" s="283"/>
    </row>
    <row r="1139" spans="1:17" ht="12" x14ac:dyDescent="0.2">
      <c r="A1139" s="249"/>
      <c r="B1139" s="250"/>
      <c r="C1139" s="251"/>
      <c r="D1139" s="251"/>
      <c r="E1139" s="251"/>
      <c r="F1139" s="252"/>
      <c r="G1139" s="253"/>
      <c r="H1139" s="254"/>
      <c r="I1139" s="251"/>
      <c r="J1139" s="251"/>
      <c r="K1139" s="255"/>
      <c r="L1139" s="281"/>
      <c r="M1139" s="281"/>
      <c r="N1139" s="281"/>
      <c r="Q1139" s="283"/>
    </row>
    <row r="1140" spans="1:17" ht="12" x14ac:dyDescent="0.2">
      <c r="A1140" s="249"/>
      <c r="B1140" s="250"/>
      <c r="C1140" s="257"/>
      <c r="D1140" s="257"/>
      <c r="E1140" s="257"/>
      <c r="F1140" s="252"/>
      <c r="G1140" s="253"/>
      <c r="H1140" s="254"/>
      <c r="I1140" s="251"/>
      <c r="J1140" s="257"/>
      <c r="K1140" s="255"/>
      <c r="L1140" s="281"/>
      <c r="M1140" s="281"/>
      <c r="N1140" s="281"/>
      <c r="Q1140" s="283"/>
    </row>
    <row r="1141" spans="1:17" ht="12" x14ac:dyDescent="0.2">
      <c r="A1141" s="249"/>
      <c r="B1141" s="250"/>
      <c r="C1141" s="251"/>
      <c r="D1141" s="251"/>
      <c r="E1141" s="251"/>
      <c r="F1141" s="252"/>
      <c r="G1141" s="253"/>
      <c r="H1141" s="254"/>
      <c r="I1141" s="251"/>
      <c r="J1141" s="251"/>
      <c r="K1141" s="255"/>
      <c r="L1141" s="281"/>
      <c r="M1141" s="281"/>
      <c r="N1141" s="281"/>
      <c r="Q1141" s="283"/>
    </row>
    <row r="1142" spans="1:17" ht="12" x14ac:dyDescent="0.2">
      <c r="A1142" s="249"/>
      <c r="B1142" s="250"/>
      <c r="C1142" s="257"/>
      <c r="D1142" s="257"/>
      <c r="E1142" s="257"/>
      <c r="F1142" s="252"/>
      <c r="G1142" s="253"/>
      <c r="H1142" s="254"/>
      <c r="I1142" s="257"/>
      <c r="J1142" s="257"/>
      <c r="K1142" s="255"/>
      <c r="L1142" s="281"/>
      <c r="M1142" s="281"/>
      <c r="N1142" s="281"/>
      <c r="Q1142" s="283"/>
    </row>
    <row r="1143" spans="1:17" ht="12" x14ac:dyDescent="0.2">
      <c r="A1143" s="249"/>
      <c r="B1143" s="250"/>
      <c r="C1143" s="251"/>
      <c r="D1143" s="251"/>
      <c r="E1143" s="251"/>
      <c r="F1143" s="252"/>
      <c r="G1143" s="253"/>
      <c r="H1143" s="254"/>
      <c r="I1143" s="251"/>
      <c r="J1143" s="251"/>
      <c r="K1143" s="255"/>
      <c r="L1143" s="281"/>
      <c r="M1143" s="281"/>
      <c r="N1143" s="281"/>
      <c r="Q1143" s="283"/>
    </row>
    <row r="1144" spans="1:17" ht="12" x14ac:dyDescent="0.2">
      <c r="A1144" s="249"/>
      <c r="B1144" s="250"/>
      <c r="C1144" s="251"/>
      <c r="D1144" s="251"/>
      <c r="E1144" s="251"/>
      <c r="F1144" s="252"/>
      <c r="G1144" s="253"/>
      <c r="H1144" s="254"/>
      <c r="I1144" s="251"/>
      <c r="J1144" s="251"/>
      <c r="K1144" s="255"/>
      <c r="L1144" s="281"/>
      <c r="M1144" s="281"/>
      <c r="N1144" s="281"/>
      <c r="Q1144" s="283"/>
    </row>
    <row r="1145" spans="1:17" ht="12" x14ac:dyDescent="0.2">
      <c r="A1145" s="249"/>
      <c r="B1145" s="250"/>
      <c r="C1145" s="257"/>
      <c r="D1145" s="257"/>
      <c r="E1145" s="257"/>
      <c r="F1145" s="252"/>
      <c r="G1145" s="253"/>
      <c r="H1145" s="254"/>
      <c r="I1145" s="257"/>
      <c r="J1145" s="257"/>
      <c r="K1145" s="255"/>
    </row>
    <row r="1146" spans="1:17" x14ac:dyDescent="0.2">
      <c r="A1146" s="269"/>
      <c r="B1146" s="199"/>
      <c r="C1146" s="200"/>
      <c r="D1146" s="200"/>
      <c r="E1146" s="200"/>
      <c r="F1146" s="201"/>
      <c r="G1146" s="270"/>
      <c r="H1146" s="271"/>
      <c r="I1146" s="200"/>
      <c r="J1146" s="200"/>
    </row>
    <row r="1147" spans="1:17" x14ac:dyDescent="0.2">
      <c r="A1147" s="269"/>
      <c r="B1147" s="199"/>
      <c r="C1147" s="272"/>
      <c r="D1147" s="272"/>
      <c r="E1147" s="272"/>
      <c r="F1147" s="201"/>
      <c r="G1147" s="270"/>
      <c r="H1147" s="271"/>
      <c r="I1147" s="272"/>
      <c r="J1147" s="272"/>
    </row>
    <row r="1148" spans="1:17" x14ac:dyDescent="0.2">
      <c r="A1148" s="269"/>
      <c r="B1148" s="199"/>
      <c r="C1148" s="200"/>
      <c r="D1148" s="200"/>
      <c r="E1148" s="200"/>
      <c r="F1148" s="201"/>
      <c r="G1148" s="270"/>
      <c r="H1148" s="271"/>
      <c r="I1148" s="200"/>
      <c r="J1148" s="200"/>
      <c r="L1148" s="281"/>
      <c r="M1148" s="281"/>
      <c r="N1148" s="281"/>
      <c r="Q1148" s="283"/>
    </row>
    <row r="1149" spans="1:17" x14ac:dyDescent="0.2">
      <c r="A1149" s="269"/>
      <c r="B1149" s="199"/>
      <c r="C1149" s="200"/>
      <c r="D1149" s="200"/>
      <c r="E1149" s="200"/>
      <c r="F1149" s="201"/>
      <c r="G1149" s="270"/>
      <c r="H1149" s="271"/>
      <c r="I1149" s="200"/>
      <c r="J1149" s="200"/>
    </row>
    <row r="1150" spans="1:17" x14ac:dyDescent="0.2">
      <c r="A1150" s="269"/>
      <c r="B1150" s="199"/>
      <c r="C1150" s="272"/>
      <c r="D1150" s="272"/>
      <c r="E1150" s="272"/>
      <c r="F1150" s="201"/>
      <c r="G1150" s="270"/>
      <c r="H1150" s="271"/>
      <c r="I1150" s="200"/>
      <c r="J1150" s="272"/>
      <c r="L1150" s="281"/>
      <c r="M1150" s="281"/>
      <c r="N1150" s="281"/>
      <c r="Q1150" s="283"/>
    </row>
    <row r="1151" spans="1:17" x14ac:dyDescent="0.2">
      <c r="A1151" s="269"/>
      <c r="B1151" s="199"/>
      <c r="C1151" s="200"/>
      <c r="D1151" s="200"/>
      <c r="E1151" s="200"/>
      <c r="F1151" s="201"/>
      <c r="G1151" s="270"/>
      <c r="H1151" s="271"/>
      <c r="I1151" s="200"/>
      <c r="J1151" s="200"/>
    </row>
    <row r="1152" spans="1:17" x14ac:dyDescent="0.2">
      <c r="A1152" s="269"/>
      <c r="B1152" s="199"/>
      <c r="C1152" s="200"/>
      <c r="D1152" s="200"/>
      <c r="E1152" s="200"/>
      <c r="F1152" s="201"/>
      <c r="G1152" s="270"/>
      <c r="H1152" s="271"/>
      <c r="I1152" s="200"/>
      <c r="J1152" s="200"/>
    </row>
    <row r="1153" spans="1:10" x14ac:dyDescent="0.2">
      <c r="A1153" s="269"/>
      <c r="B1153" s="199"/>
      <c r="C1153" s="272"/>
      <c r="D1153" s="272"/>
      <c r="E1153" s="272"/>
      <c r="F1153" s="201"/>
      <c r="G1153" s="270"/>
      <c r="H1153" s="271"/>
      <c r="I1153" s="200"/>
      <c r="J1153" s="272"/>
    </row>
    <row r="1154" spans="1:10" x14ac:dyDescent="0.2">
      <c r="A1154" s="269"/>
      <c r="B1154" s="199"/>
      <c r="C1154" s="200"/>
      <c r="D1154" s="200"/>
      <c r="E1154" s="200"/>
      <c r="F1154" s="201"/>
      <c r="G1154" s="270"/>
      <c r="H1154" s="271"/>
      <c r="I1154" s="200"/>
      <c r="J1154" s="200"/>
    </row>
    <row r="1155" spans="1:10" x14ac:dyDescent="0.2">
      <c r="A1155" s="269"/>
      <c r="B1155" s="199"/>
      <c r="C1155" s="200"/>
      <c r="D1155" s="200"/>
      <c r="E1155" s="200"/>
      <c r="F1155" s="201"/>
      <c r="G1155" s="270"/>
      <c r="H1155" s="271"/>
      <c r="I1155" s="200"/>
      <c r="J1155" s="200"/>
    </row>
    <row r="1156" spans="1:10" x14ac:dyDescent="0.2">
      <c r="A1156" s="269"/>
      <c r="B1156" s="199"/>
      <c r="C1156" s="200"/>
      <c r="D1156" s="200"/>
      <c r="E1156" s="200"/>
      <c r="F1156" s="201"/>
      <c r="G1156" s="270"/>
      <c r="H1156" s="271"/>
      <c r="I1156" s="200"/>
      <c r="J1156" s="200"/>
    </row>
    <row r="1157" spans="1:10" x14ac:dyDescent="0.2">
      <c r="A1157" s="269"/>
      <c r="B1157" s="199"/>
      <c r="C1157" s="200"/>
      <c r="D1157" s="200"/>
      <c r="E1157" s="200"/>
      <c r="F1157" s="201"/>
      <c r="G1157" s="270"/>
      <c r="H1157" s="271"/>
      <c r="I1157" s="200"/>
      <c r="J1157" s="200"/>
    </row>
    <row r="1158" spans="1:10" x14ac:dyDescent="0.2">
      <c r="A1158" s="269"/>
      <c r="B1158" s="199"/>
      <c r="C1158" s="272"/>
      <c r="D1158" s="272"/>
      <c r="E1158" s="272"/>
      <c r="F1158" s="201"/>
      <c r="G1158" s="270"/>
      <c r="H1158" s="271"/>
      <c r="I1158" s="200"/>
      <c r="J1158" s="272"/>
    </row>
    <row r="1159" spans="1:10" x14ac:dyDescent="0.2">
      <c r="A1159" s="269"/>
      <c r="B1159" s="199"/>
      <c r="C1159" s="200"/>
      <c r="D1159" s="200"/>
      <c r="E1159" s="200"/>
      <c r="F1159" s="201"/>
      <c r="G1159" s="270"/>
      <c r="H1159" s="271"/>
      <c r="I1159" s="200"/>
      <c r="J1159" s="200"/>
    </row>
    <row r="1160" spans="1:10" x14ac:dyDescent="0.2">
      <c r="A1160" s="269"/>
      <c r="B1160" s="199"/>
      <c r="C1160" s="200"/>
      <c r="D1160" s="200"/>
      <c r="E1160" s="200"/>
      <c r="F1160" s="201"/>
      <c r="G1160" s="270"/>
      <c r="H1160" s="271"/>
      <c r="I1160" s="200"/>
      <c r="J1160" s="200"/>
    </row>
    <row r="1161" spans="1:10" x14ac:dyDescent="0.2">
      <c r="A1161" s="269"/>
      <c r="B1161" s="199"/>
      <c r="C1161" s="200"/>
      <c r="D1161" s="200"/>
      <c r="E1161" s="200"/>
      <c r="F1161" s="201"/>
      <c r="G1161" s="270"/>
      <c r="H1161" s="271"/>
      <c r="I1161" s="200"/>
      <c r="J1161" s="200"/>
    </row>
    <row r="1162" spans="1:10" x14ac:dyDescent="0.2">
      <c r="A1162" s="269"/>
      <c r="B1162" s="199"/>
      <c r="C1162" s="200"/>
      <c r="D1162" s="200"/>
      <c r="E1162" s="200"/>
      <c r="F1162" s="201"/>
      <c r="G1162" s="270"/>
      <c r="H1162" s="271"/>
      <c r="I1162" s="200"/>
      <c r="J1162" s="200"/>
    </row>
    <row r="1163" spans="1:10" x14ac:dyDescent="0.2">
      <c r="A1163" s="269"/>
      <c r="B1163" s="199"/>
      <c r="C1163" s="200"/>
      <c r="D1163" s="200"/>
      <c r="E1163" s="200"/>
      <c r="F1163" s="201"/>
      <c r="G1163" s="270"/>
      <c r="H1163" s="271"/>
      <c r="I1163" s="200"/>
      <c r="J1163" s="200"/>
    </row>
    <row r="1164" spans="1:10" x14ac:dyDescent="0.2">
      <c r="A1164" s="269"/>
      <c r="B1164" s="199"/>
      <c r="C1164" s="200"/>
      <c r="D1164" s="200"/>
      <c r="E1164" s="200"/>
      <c r="F1164" s="201"/>
      <c r="G1164" s="270"/>
      <c r="H1164" s="271"/>
      <c r="I1164" s="200"/>
      <c r="J1164" s="200"/>
    </row>
    <row r="1165" spans="1:10" x14ac:dyDescent="0.2">
      <c r="A1165" s="269"/>
      <c r="B1165" s="199"/>
      <c r="C1165" s="272"/>
      <c r="D1165" s="272"/>
      <c r="E1165" s="272"/>
      <c r="F1165" s="201"/>
      <c r="G1165" s="270"/>
      <c r="H1165" s="271"/>
      <c r="I1165" s="200"/>
      <c r="J1165" s="272"/>
    </row>
    <row r="1166" spans="1:10" x14ac:dyDescent="0.2">
      <c r="A1166" s="269"/>
      <c r="B1166" s="199"/>
      <c r="C1166" s="200"/>
      <c r="D1166" s="200"/>
      <c r="E1166" s="200"/>
      <c r="F1166" s="201"/>
      <c r="G1166" s="270"/>
      <c r="H1166" s="271"/>
      <c r="I1166" s="200"/>
      <c r="J1166" s="200"/>
    </row>
    <row r="1167" spans="1:10" x14ac:dyDescent="0.2">
      <c r="A1167" s="269"/>
      <c r="B1167" s="199"/>
      <c r="C1167" s="200"/>
      <c r="D1167" s="200"/>
      <c r="E1167" s="200"/>
      <c r="F1167" s="201"/>
      <c r="G1167" s="270"/>
      <c r="H1167" s="271"/>
      <c r="I1167" s="200"/>
      <c r="J1167" s="200"/>
    </row>
    <row r="1168" spans="1:10" x14ac:dyDescent="0.2">
      <c r="A1168" s="269"/>
      <c r="B1168" s="199"/>
      <c r="C1168" s="200"/>
      <c r="D1168" s="200"/>
      <c r="E1168" s="200"/>
      <c r="F1168" s="201"/>
      <c r="G1168" s="270"/>
      <c r="H1168" s="271"/>
      <c r="I1168" s="200"/>
      <c r="J1168" s="200"/>
    </row>
    <row r="1169" spans="1:10" x14ac:dyDescent="0.2">
      <c r="A1169" s="269"/>
      <c r="B1169" s="199"/>
      <c r="C1169" s="200"/>
      <c r="D1169" s="200"/>
      <c r="E1169" s="200"/>
      <c r="F1169" s="201"/>
      <c r="G1169" s="270"/>
      <c r="H1169" s="271"/>
      <c r="I1169" s="200"/>
      <c r="J1169" s="200"/>
    </row>
    <row r="1170" spans="1:10" x14ac:dyDescent="0.2">
      <c r="A1170" s="269"/>
      <c r="B1170" s="199"/>
      <c r="C1170" s="272"/>
      <c r="D1170" s="272"/>
      <c r="E1170" s="272"/>
      <c r="F1170" s="201"/>
      <c r="G1170" s="270"/>
      <c r="H1170" s="271"/>
      <c r="I1170" s="272"/>
      <c r="J1170" s="272"/>
    </row>
    <row r="1171" spans="1:10" x14ac:dyDescent="0.2">
      <c r="A1171" s="269"/>
      <c r="B1171" s="199"/>
      <c r="C1171" s="200"/>
      <c r="D1171" s="200"/>
      <c r="E1171" s="200"/>
      <c r="F1171" s="201"/>
      <c r="G1171" s="270"/>
      <c r="H1171" s="271"/>
      <c r="I1171" s="200"/>
      <c r="J1171" s="200"/>
    </row>
    <row r="1172" spans="1:10" x14ac:dyDescent="0.2">
      <c r="A1172" s="269"/>
      <c r="B1172" s="199"/>
      <c r="C1172" s="200"/>
      <c r="D1172" s="200"/>
      <c r="E1172" s="200"/>
      <c r="F1172" s="201"/>
      <c r="G1172" s="270"/>
      <c r="H1172" s="271"/>
      <c r="I1172" s="200"/>
      <c r="J1172" s="200"/>
    </row>
    <row r="1173" spans="1:10" x14ac:dyDescent="0.2">
      <c r="A1173" s="269"/>
      <c r="B1173" s="199"/>
      <c r="C1173" s="200"/>
      <c r="D1173" s="200"/>
      <c r="E1173" s="200"/>
      <c r="F1173" s="201"/>
      <c r="G1173" s="270"/>
      <c r="H1173" s="271"/>
      <c r="I1173" s="200"/>
      <c r="J1173" s="200"/>
    </row>
    <row r="1174" spans="1:10" x14ac:dyDescent="0.2">
      <c r="A1174" s="269"/>
      <c r="B1174" s="199"/>
      <c r="C1174" s="200"/>
      <c r="D1174" s="200"/>
      <c r="E1174" s="200"/>
      <c r="F1174" s="201"/>
      <c r="G1174" s="270"/>
      <c r="H1174" s="271"/>
      <c r="I1174" s="200"/>
      <c r="J1174" s="200"/>
    </row>
    <row r="1175" spans="1:10" x14ac:dyDescent="0.2">
      <c r="A1175" s="269"/>
      <c r="B1175" s="199"/>
      <c r="C1175" s="272"/>
      <c r="D1175" s="272"/>
      <c r="E1175" s="272"/>
      <c r="F1175" s="201"/>
      <c r="G1175" s="270"/>
      <c r="H1175" s="271"/>
      <c r="I1175" s="272"/>
      <c r="J1175" s="272"/>
    </row>
    <row r="1176" spans="1:10" x14ac:dyDescent="0.2">
      <c r="A1176" s="269"/>
      <c r="B1176" s="199"/>
      <c r="C1176" s="200"/>
      <c r="D1176" s="200"/>
      <c r="E1176" s="200"/>
      <c r="F1176" s="201"/>
      <c r="G1176" s="270"/>
      <c r="H1176" s="271"/>
      <c r="I1176" s="200"/>
      <c r="J1176" s="200"/>
    </row>
    <row r="1177" spans="1:10" x14ac:dyDescent="0.2">
      <c r="A1177" s="269"/>
      <c r="B1177" s="199"/>
      <c r="C1177" s="200"/>
      <c r="D1177" s="200"/>
      <c r="E1177" s="200"/>
      <c r="F1177" s="201"/>
      <c r="G1177" s="270"/>
      <c r="H1177" s="271"/>
      <c r="I1177" s="200"/>
      <c r="J1177" s="200"/>
    </row>
    <row r="1178" spans="1:10" x14ac:dyDescent="0.2">
      <c r="A1178" s="269"/>
      <c r="B1178" s="199"/>
      <c r="C1178" s="200"/>
      <c r="D1178" s="200"/>
      <c r="E1178" s="200"/>
      <c r="F1178" s="201"/>
      <c r="G1178" s="270"/>
      <c r="H1178" s="271"/>
      <c r="I1178" s="200"/>
      <c r="J1178" s="200"/>
    </row>
    <row r="1179" spans="1:10" x14ac:dyDescent="0.2">
      <c r="A1179" s="269"/>
      <c r="B1179" s="199"/>
      <c r="C1179" s="200"/>
      <c r="D1179" s="200"/>
      <c r="E1179" s="200"/>
      <c r="F1179" s="201"/>
      <c r="G1179" s="270"/>
      <c r="H1179" s="271"/>
      <c r="I1179" s="200"/>
      <c r="J1179" s="200"/>
    </row>
    <row r="1180" spans="1:10" x14ac:dyDescent="0.2">
      <c r="A1180" s="269"/>
      <c r="B1180" s="199"/>
      <c r="C1180" s="200"/>
      <c r="D1180" s="200"/>
      <c r="E1180" s="200"/>
      <c r="F1180" s="201"/>
      <c r="G1180" s="270"/>
      <c r="H1180" s="271"/>
      <c r="I1180" s="200"/>
      <c r="J1180" s="200"/>
    </row>
    <row r="1181" spans="1:10" x14ac:dyDescent="0.2">
      <c r="A1181" s="269"/>
      <c r="B1181" s="199"/>
      <c r="C1181" s="200"/>
      <c r="D1181" s="200"/>
      <c r="E1181" s="200"/>
      <c r="F1181" s="201"/>
      <c r="G1181" s="273"/>
      <c r="H1181" s="274"/>
      <c r="I1181" s="200"/>
      <c r="J1181" s="200"/>
    </row>
    <row r="1182" spans="1:10" x14ac:dyDescent="0.2">
      <c r="A1182" s="269"/>
      <c r="B1182" s="199"/>
      <c r="C1182" s="272"/>
      <c r="D1182" s="272"/>
      <c r="E1182" s="272"/>
      <c r="F1182" s="201"/>
      <c r="G1182" s="270"/>
      <c r="H1182" s="271"/>
      <c r="I1182" s="272"/>
      <c r="J1182" s="272"/>
    </row>
    <row r="1183" spans="1:10" x14ac:dyDescent="0.2">
      <c r="A1183" s="269"/>
      <c r="B1183" s="199"/>
      <c r="C1183" s="272"/>
      <c r="D1183" s="272"/>
      <c r="E1183" s="272"/>
      <c r="F1183" s="201"/>
      <c r="G1183" s="270"/>
      <c r="H1183" s="271"/>
      <c r="I1183" s="272"/>
      <c r="J1183" s="272"/>
    </row>
    <row r="1184" spans="1:10" x14ac:dyDescent="0.2">
      <c r="A1184" s="269"/>
      <c r="B1184" s="199"/>
      <c r="C1184" s="200"/>
      <c r="D1184" s="200"/>
      <c r="E1184" s="200"/>
      <c r="F1184" s="201"/>
      <c r="G1184" s="270"/>
      <c r="H1184" s="271"/>
      <c r="I1184" s="200"/>
      <c r="J1184" s="200"/>
    </row>
    <row r="1185" spans="1:10" x14ac:dyDescent="0.2">
      <c r="A1185" s="269"/>
      <c r="B1185" s="199"/>
      <c r="C1185" s="272"/>
      <c r="D1185" s="272"/>
      <c r="E1185" s="272"/>
      <c r="F1185" s="201"/>
      <c r="G1185" s="270"/>
      <c r="H1185" s="271"/>
      <c r="I1185" s="272"/>
      <c r="J1185" s="272"/>
    </row>
    <row r="1186" spans="1:10" x14ac:dyDescent="0.2">
      <c r="A1186" s="269"/>
      <c r="B1186" s="199"/>
      <c r="C1186" s="272"/>
      <c r="D1186" s="272"/>
      <c r="E1186" s="272"/>
      <c r="F1186" s="201"/>
      <c r="G1186" s="270"/>
      <c r="H1186" s="271"/>
      <c r="I1186" s="272"/>
      <c r="J1186" s="272"/>
    </row>
    <row r="1187" spans="1:10" x14ac:dyDescent="0.2">
      <c r="A1187" s="269"/>
      <c r="B1187" s="199"/>
      <c r="C1187" s="272"/>
      <c r="D1187" s="272"/>
      <c r="E1187" s="272"/>
      <c r="F1187" s="201"/>
      <c r="G1187" s="270"/>
      <c r="H1187" s="271"/>
      <c r="I1187" s="272"/>
      <c r="J1187" s="272"/>
    </row>
    <row r="1188" spans="1:10" x14ac:dyDescent="0.2">
      <c r="A1188" s="269"/>
      <c r="B1188" s="199"/>
      <c r="C1188" s="272"/>
      <c r="D1188" s="272"/>
      <c r="E1188" s="272"/>
      <c r="F1188" s="201"/>
      <c r="G1188" s="270"/>
      <c r="H1188" s="271"/>
      <c r="I1188" s="272"/>
      <c r="J1188" s="272"/>
    </row>
    <row r="1189" spans="1:10" x14ac:dyDescent="0.2">
      <c r="A1189" s="269"/>
      <c r="B1189" s="199"/>
      <c r="C1189" s="272"/>
      <c r="D1189" s="272"/>
      <c r="E1189" s="272"/>
      <c r="F1189" s="201"/>
      <c r="G1189" s="270"/>
      <c r="H1189" s="271"/>
      <c r="I1189" s="272"/>
      <c r="J1189" s="272"/>
    </row>
    <row r="1190" spans="1:10" x14ac:dyDescent="0.2">
      <c r="A1190" s="269"/>
      <c r="B1190" s="199"/>
      <c r="C1190" s="200"/>
      <c r="D1190" s="200"/>
      <c r="E1190" s="200"/>
      <c r="F1190" s="201"/>
      <c r="G1190" s="270"/>
      <c r="H1190" s="271"/>
      <c r="I1190" s="200"/>
      <c r="J1190" s="200"/>
    </row>
    <row r="1191" spans="1:10" x14ac:dyDescent="0.2">
      <c r="A1191" s="269"/>
      <c r="B1191" s="199"/>
      <c r="C1191" s="200"/>
      <c r="D1191" s="200"/>
      <c r="E1191" s="200"/>
      <c r="F1191" s="201"/>
      <c r="G1191" s="270"/>
      <c r="H1191" s="271"/>
      <c r="I1191" s="200"/>
      <c r="J1191" s="200"/>
    </row>
    <row r="1192" spans="1:10" x14ac:dyDescent="0.2">
      <c r="A1192" s="269"/>
      <c r="B1192" s="199"/>
      <c r="C1192" s="272"/>
      <c r="D1192" s="272"/>
      <c r="E1192" s="272"/>
      <c r="F1192" s="201"/>
      <c r="G1192" s="270"/>
      <c r="H1192" s="271"/>
      <c r="I1192" s="272"/>
      <c r="J1192" s="272"/>
    </row>
    <row r="1193" spans="1:10" x14ac:dyDescent="0.2">
      <c r="A1193" s="269"/>
      <c r="B1193" s="199"/>
      <c r="C1193" s="200"/>
      <c r="D1193" s="200"/>
      <c r="E1193" s="200"/>
      <c r="F1193" s="201"/>
      <c r="G1193" s="270"/>
      <c r="H1193" s="271"/>
      <c r="I1193" s="200"/>
      <c r="J1193" s="200"/>
    </row>
    <row r="1194" spans="1:10" x14ac:dyDescent="0.2">
      <c r="A1194" s="269"/>
      <c r="B1194" s="199"/>
      <c r="C1194" s="200"/>
      <c r="D1194" s="200"/>
      <c r="E1194" s="200"/>
      <c r="F1194" s="201"/>
      <c r="G1194" s="270"/>
      <c r="H1194" s="271"/>
      <c r="I1194" s="200"/>
      <c r="J1194" s="200"/>
    </row>
    <row r="1195" spans="1:10" x14ac:dyDescent="0.2">
      <c r="A1195" s="269"/>
      <c r="B1195" s="199"/>
      <c r="C1195" s="200"/>
      <c r="D1195" s="200"/>
      <c r="E1195" s="200"/>
      <c r="F1195" s="201"/>
      <c r="G1195" s="270"/>
      <c r="H1195" s="271"/>
      <c r="I1195" s="200"/>
      <c r="J1195" s="200"/>
    </row>
    <row r="1196" spans="1:10" x14ac:dyDescent="0.2">
      <c r="A1196" s="269"/>
      <c r="B1196" s="199"/>
      <c r="C1196" s="200"/>
      <c r="D1196" s="200"/>
      <c r="E1196" s="200"/>
      <c r="F1196" s="201"/>
      <c r="G1196" s="270"/>
      <c r="H1196" s="271"/>
      <c r="I1196" s="200"/>
      <c r="J1196" s="200"/>
    </row>
    <row r="1197" spans="1:10" x14ac:dyDescent="0.2">
      <c r="A1197" s="269"/>
      <c r="B1197" s="199"/>
      <c r="C1197" s="200"/>
      <c r="D1197" s="200"/>
      <c r="E1197" s="200"/>
      <c r="F1197" s="201"/>
      <c r="G1197" s="270"/>
      <c r="H1197" s="271"/>
      <c r="I1197" s="200"/>
      <c r="J1197" s="200"/>
    </row>
    <row r="1198" spans="1:10" x14ac:dyDescent="0.2">
      <c r="A1198" s="269"/>
      <c r="B1198" s="199"/>
      <c r="C1198" s="200"/>
      <c r="D1198" s="200"/>
      <c r="E1198" s="200"/>
      <c r="F1198" s="201"/>
      <c r="G1198" s="270"/>
      <c r="H1198" s="271"/>
      <c r="I1198" s="200"/>
      <c r="J1198" s="200"/>
    </row>
    <row r="1199" spans="1:10" x14ac:dyDescent="0.2">
      <c r="A1199" s="269"/>
      <c r="B1199" s="199"/>
      <c r="C1199" s="200"/>
      <c r="D1199" s="200"/>
      <c r="E1199" s="200"/>
      <c r="F1199" s="201"/>
      <c r="G1199" s="270"/>
      <c r="H1199" s="271"/>
      <c r="I1199" s="200"/>
      <c r="J1199" s="200"/>
    </row>
    <row r="1200" spans="1:10" x14ac:dyDescent="0.2">
      <c r="A1200" s="269"/>
      <c r="B1200" s="199"/>
      <c r="C1200" s="200"/>
      <c r="D1200" s="200"/>
      <c r="E1200" s="200"/>
      <c r="F1200" s="201"/>
      <c r="G1200" s="270"/>
      <c r="H1200" s="271"/>
      <c r="I1200" s="200"/>
      <c r="J1200" s="200"/>
    </row>
    <row r="1201" spans="1:10" x14ac:dyDescent="0.2">
      <c r="A1201" s="269"/>
      <c r="B1201" s="199"/>
      <c r="C1201" s="200"/>
      <c r="D1201" s="200"/>
      <c r="E1201" s="200"/>
      <c r="F1201" s="201"/>
      <c r="G1201" s="270"/>
      <c r="H1201" s="271"/>
      <c r="I1201" s="200"/>
      <c r="J1201" s="200"/>
    </row>
    <row r="1202" spans="1:10" x14ac:dyDescent="0.2">
      <c r="A1202" s="269"/>
      <c r="B1202" s="199"/>
      <c r="C1202" s="200"/>
      <c r="D1202" s="200"/>
      <c r="E1202" s="200"/>
      <c r="F1202" s="201"/>
      <c r="G1202" s="200"/>
      <c r="H1202" s="201"/>
      <c r="I1202" s="200"/>
      <c r="J1202" s="200"/>
    </row>
    <row r="1203" spans="1:10" x14ac:dyDescent="0.2">
      <c r="A1203" s="269"/>
      <c r="B1203" s="199"/>
      <c r="C1203" s="200"/>
      <c r="D1203" s="200"/>
      <c r="E1203" s="200"/>
      <c r="F1203" s="201"/>
      <c r="G1203" s="270"/>
      <c r="H1203" s="271"/>
      <c r="I1203" s="200"/>
      <c r="J1203" s="200"/>
    </row>
    <row r="1204" spans="1:10" x14ac:dyDescent="0.2">
      <c r="A1204" s="269"/>
      <c r="B1204" s="199"/>
      <c r="C1204" s="272"/>
      <c r="D1204" s="272"/>
      <c r="E1204" s="272"/>
      <c r="F1204" s="201"/>
      <c r="G1204" s="270"/>
      <c r="H1204" s="271"/>
      <c r="I1204" s="272"/>
      <c r="J1204" s="272"/>
    </row>
    <row r="1205" spans="1:10" x14ac:dyDescent="0.2">
      <c r="A1205" s="269"/>
      <c r="B1205" s="199"/>
      <c r="C1205" s="272"/>
      <c r="D1205" s="272"/>
      <c r="E1205" s="272"/>
      <c r="F1205" s="201"/>
      <c r="G1205" s="270"/>
      <c r="H1205" s="271"/>
      <c r="I1205" s="272"/>
      <c r="J1205" s="272"/>
    </row>
    <row r="1206" spans="1:10" x14ac:dyDescent="0.2">
      <c r="A1206" s="269"/>
      <c r="B1206" s="199"/>
      <c r="C1206" s="272"/>
      <c r="D1206" s="272"/>
      <c r="E1206" s="272"/>
      <c r="F1206" s="201"/>
      <c r="G1206" s="270"/>
      <c r="H1206" s="271"/>
      <c r="I1206" s="272"/>
      <c r="J1206" s="272"/>
    </row>
    <row r="1207" spans="1:10" x14ac:dyDescent="0.2">
      <c r="A1207" s="269"/>
      <c r="B1207" s="199"/>
      <c r="C1207" s="200"/>
      <c r="D1207" s="200"/>
      <c r="E1207" s="200"/>
      <c r="F1207" s="201"/>
      <c r="G1207" s="270"/>
      <c r="H1207" s="271"/>
      <c r="I1207" s="200"/>
      <c r="J1207" s="200"/>
    </row>
    <row r="1208" spans="1:10" x14ac:dyDescent="0.2">
      <c r="A1208" s="269"/>
      <c r="B1208" s="199"/>
      <c r="C1208" s="272"/>
      <c r="D1208" s="272"/>
      <c r="E1208" s="272"/>
      <c r="F1208" s="201"/>
      <c r="G1208" s="270"/>
      <c r="H1208" s="271"/>
      <c r="I1208" s="272"/>
      <c r="J1208" s="272"/>
    </row>
    <row r="1209" spans="1:10" x14ac:dyDescent="0.2">
      <c r="A1209" s="269"/>
      <c r="B1209" s="199"/>
      <c r="C1209" s="272"/>
      <c r="D1209" s="272"/>
      <c r="E1209" s="272"/>
      <c r="F1209" s="201"/>
      <c r="G1209" s="270"/>
      <c r="H1209" s="271"/>
      <c r="I1209" s="272"/>
      <c r="J1209" s="272"/>
    </row>
    <row r="1210" spans="1:10" x14ac:dyDescent="0.2">
      <c r="A1210" s="269"/>
      <c r="B1210" s="199"/>
      <c r="C1210" s="200"/>
      <c r="D1210" s="200"/>
      <c r="E1210" s="200"/>
      <c r="F1210" s="201"/>
      <c r="G1210" s="270"/>
      <c r="H1210" s="271"/>
      <c r="I1210" s="200"/>
      <c r="J1210" s="200"/>
    </row>
    <row r="1211" spans="1:10" x14ac:dyDescent="0.2">
      <c r="A1211" s="269"/>
      <c r="B1211" s="199"/>
      <c r="C1211" s="200"/>
      <c r="D1211" s="200"/>
      <c r="E1211" s="200"/>
      <c r="F1211" s="201"/>
      <c r="G1211" s="270"/>
      <c r="H1211" s="271"/>
      <c r="I1211" s="200"/>
      <c r="J1211" s="200"/>
    </row>
    <row r="1212" spans="1:10" x14ac:dyDescent="0.2">
      <c r="A1212" s="269"/>
      <c r="B1212" s="199"/>
      <c r="C1212" s="200"/>
      <c r="D1212" s="200"/>
      <c r="E1212" s="200"/>
      <c r="F1212" s="201"/>
      <c r="G1212" s="270"/>
      <c r="H1212" s="271"/>
      <c r="I1212" s="200"/>
      <c r="J1212" s="200"/>
    </row>
    <row r="1213" spans="1:10" x14ac:dyDescent="0.2">
      <c r="A1213" s="269"/>
      <c r="B1213" s="199"/>
      <c r="C1213" s="200"/>
      <c r="D1213" s="200"/>
      <c r="E1213" s="200"/>
      <c r="F1213" s="201"/>
      <c r="G1213" s="270"/>
      <c r="H1213" s="271"/>
      <c r="I1213" s="200"/>
      <c r="J1213" s="200"/>
    </row>
    <row r="1214" spans="1:10" x14ac:dyDescent="0.2">
      <c r="A1214" s="269"/>
      <c r="B1214" s="199"/>
      <c r="C1214" s="272"/>
      <c r="D1214" s="272"/>
      <c r="E1214" s="272"/>
      <c r="F1214" s="201"/>
      <c r="G1214" s="270"/>
      <c r="H1214" s="271"/>
      <c r="I1214" s="272"/>
      <c r="J1214" s="272"/>
    </row>
    <row r="1215" spans="1:10" x14ac:dyDescent="0.2">
      <c r="A1215" s="269"/>
      <c r="B1215" s="199"/>
      <c r="C1215" s="200"/>
      <c r="D1215" s="200"/>
      <c r="E1215" s="200"/>
      <c r="F1215" s="201"/>
      <c r="G1215" s="270"/>
      <c r="H1215" s="271"/>
      <c r="I1215" s="200"/>
      <c r="J1215" s="200"/>
    </row>
    <row r="1216" spans="1:10" x14ac:dyDescent="0.2">
      <c r="A1216" s="269"/>
      <c r="B1216" s="199"/>
      <c r="C1216" s="200"/>
      <c r="D1216" s="200"/>
      <c r="E1216" s="200"/>
      <c r="F1216" s="201"/>
      <c r="G1216" s="270"/>
      <c r="H1216" s="271"/>
      <c r="I1216" s="200"/>
      <c r="J1216" s="200"/>
    </row>
    <row r="1217" spans="1:10" x14ac:dyDescent="0.2">
      <c r="A1217" s="269"/>
      <c r="B1217" s="199"/>
      <c r="C1217" s="200"/>
      <c r="D1217" s="200"/>
      <c r="E1217" s="200"/>
      <c r="F1217" s="201"/>
      <c r="G1217" s="270"/>
      <c r="H1217" s="271"/>
      <c r="I1217" s="200"/>
      <c r="J1217" s="200"/>
    </row>
    <row r="1218" spans="1:10" x14ac:dyDescent="0.2">
      <c r="A1218" s="269"/>
      <c r="B1218" s="199"/>
      <c r="C1218" s="272"/>
      <c r="D1218" s="272"/>
      <c r="E1218" s="272"/>
      <c r="F1218" s="201"/>
      <c r="G1218" s="270"/>
      <c r="H1218" s="271"/>
      <c r="I1218" s="200"/>
      <c r="J1218" s="272"/>
    </row>
    <row r="1219" spans="1:10" x14ac:dyDescent="0.2">
      <c r="A1219" s="269"/>
      <c r="B1219" s="199"/>
      <c r="C1219" s="200"/>
      <c r="D1219" s="200"/>
      <c r="E1219" s="200"/>
      <c r="F1219" s="201"/>
      <c r="G1219" s="270"/>
      <c r="H1219" s="271"/>
      <c r="I1219" s="200"/>
      <c r="J1219" s="200"/>
    </row>
    <row r="1220" spans="1:10" x14ac:dyDescent="0.2">
      <c r="A1220" s="269"/>
      <c r="B1220" s="199"/>
      <c r="C1220" s="200"/>
      <c r="D1220" s="200"/>
      <c r="E1220" s="200"/>
      <c r="F1220" s="201"/>
      <c r="G1220" s="270"/>
      <c r="H1220" s="271"/>
      <c r="I1220" s="200"/>
      <c r="J1220" s="200"/>
    </row>
    <row r="1221" spans="1:10" x14ac:dyDescent="0.2">
      <c r="A1221" s="269"/>
      <c r="B1221" s="199"/>
      <c r="C1221" s="200"/>
      <c r="D1221" s="200"/>
      <c r="E1221" s="200"/>
      <c r="F1221" s="201"/>
      <c r="G1221" s="270"/>
      <c r="H1221" s="271"/>
      <c r="I1221" s="200"/>
      <c r="J1221" s="200"/>
    </row>
    <row r="1222" spans="1:10" x14ac:dyDescent="0.2">
      <c r="A1222" s="269"/>
      <c r="B1222" s="199"/>
      <c r="C1222" s="272"/>
      <c r="D1222" s="272"/>
      <c r="E1222" s="272"/>
      <c r="F1222" s="201"/>
      <c r="G1222" s="270"/>
      <c r="H1222" s="271"/>
      <c r="I1222" s="200"/>
      <c r="J1222" s="272"/>
    </row>
    <row r="1223" spans="1:10" x14ac:dyDescent="0.2">
      <c r="A1223" s="269"/>
      <c r="B1223" s="199"/>
      <c r="C1223" s="200"/>
      <c r="D1223" s="200"/>
      <c r="E1223" s="200"/>
      <c r="F1223" s="201"/>
      <c r="G1223" s="270"/>
      <c r="H1223" s="271"/>
      <c r="I1223" s="200"/>
      <c r="J1223" s="200"/>
    </row>
    <row r="1224" spans="1:10" x14ac:dyDescent="0.2">
      <c r="A1224" s="269"/>
      <c r="B1224" s="199"/>
      <c r="C1224" s="200"/>
      <c r="D1224" s="200"/>
      <c r="E1224" s="200"/>
      <c r="F1224" s="201"/>
      <c r="G1224" s="270"/>
      <c r="H1224" s="271"/>
      <c r="I1224" s="200"/>
      <c r="J1224" s="200"/>
    </row>
    <row r="1225" spans="1:10" x14ac:dyDescent="0.2">
      <c r="A1225" s="269"/>
      <c r="B1225" s="199"/>
      <c r="C1225" s="200"/>
      <c r="D1225" s="200"/>
      <c r="E1225" s="200"/>
      <c r="F1225" s="201"/>
      <c r="G1225" s="270"/>
      <c r="H1225" s="271"/>
      <c r="I1225" s="200"/>
      <c r="J1225" s="200"/>
    </row>
    <row r="1226" spans="1:10" x14ac:dyDescent="0.2">
      <c r="A1226" s="269"/>
      <c r="B1226" s="199"/>
      <c r="C1226" s="200"/>
      <c r="D1226" s="200"/>
      <c r="E1226" s="200"/>
      <c r="F1226" s="201"/>
      <c r="G1226" s="270"/>
      <c r="H1226" s="271"/>
      <c r="I1226" s="200"/>
      <c r="J1226" s="200"/>
    </row>
    <row r="1227" spans="1:10" x14ac:dyDescent="0.2">
      <c r="A1227" s="269"/>
      <c r="B1227" s="199"/>
      <c r="C1227" s="272"/>
      <c r="D1227" s="272"/>
      <c r="E1227" s="272"/>
      <c r="F1227" s="201"/>
      <c r="G1227" s="270"/>
      <c r="H1227" s="271"/>
      <c r="I1227" s="200"/>
      <c r="J1227" s="272"/>
    </row>
    <row r="1228" spans="1:10" x14ac:dyDescent="0.2">
      <c r="A1228" s="269"/>
      <c r="B1228" s="199"/>
      <c r="C1228" s="200"/>
      <c r="D1228" s="200"/>
      <c r="E1228" s="200"/>
      <c r="F1228" s="201"/>
      <c r="G1228" s="270"/>
      <c r="H1228" s="271"/>
      <c r="I1228" s="200"/>
      <c r="J1228" s="200"/>
    </row>
    <row r="1229" spans="1:10" x14ac:dyDescent="0.2">
      <c r="A1229" s="269"/>
      <c r="B1229" s="199"/>
      <c r="C1229" s="200"/>
      <c r="D1229" s="200"/>
      <c r="E1229" s="200"/>
      <c r="F1229" s="201"/>
      <c r="G1229" s="270"/>
      <c r="H1229" s="271"/>
      <c r="I1229" s="200"/>
      <c r="J1229" s="200"/>
    </row>
    <row r="1230" spans="1:10" x14ac:dyDescent="0.2">
      <c r="A1230" s="269"/>
      <c r="B1230" s="199"/>
      <c r="C1230" s="200"/>
      <c r="D1230" s="200"/>
      <c r="E1230" s="200"/>
      <c r="F1230" s="201"/>
      <c r="G1230" s="270"/>
      <c r="H1230" s="271"/>
      <c r="I1230" s="200"/>
      <c r="J1230" s="200"/>
    </row>
    <row r="1231" spans="1:10" x14ac:dyDescent="0.2">
      <c r="A1231" s="269"/>
      <c r="B1231" s="199"/>
      <c r="C1231" s="200"/>
      <c r="D1231" s="200"/>
      <c r="E1231" s="200"/>
      <c r="F1231" s="201"/>
      <c r="G1231" s="270"/>
      <c r="H1231" s="271"/>
      <c r="I1231" s="200"/>
      <c r="J1231" s="200"/>
    </row>
    <row r="1232" spans="1:10" x14ac:dyDescent="0.2">
      <c r="A1232" s="269"/>
      <c r="B1232" s="199"/>
      <c r="C1232" s="200"/>
      <c r="D1232" s="200"/>
      <c r="E1232" s="200"/>
      <c r="F1232" s="201"/>
      <c r="G1232" s="270"/>
      <c r="H1232" s="271"/>
      <c r="I1232" s="200"/>
      <c r="J1232" s="200"/>
    </row>
    <row r="1233" spans="1:10" x14ac:dyDescent="0.2">
      <c r="A1233" s="269"/>
      <c r="B1233" s="199"/>
      <c r="C1233" s="272"/>
      <c r="D1233" s="272"/>
      <c r="E1233" s="272"/>
      <c r="F1233" s="201"/>
      <c r="G1233" s="270"/>
      <c r="H1233" s="271"/>
      <c r="I1233" s="200"/>
      <c r="J1233" s="272"/>
    </row>
    <row r="1234" spans="1:10" x14ac:dyDescent="0.2">
      <c r="A1234" s="269"/>
      <c r="B1234" s="199"/>
      <c r="C1234" s="200"/>
      <c r="D1234" s="200"/>
      <c r="E1234" s="200"/>
      <c r="F1234" s="201"/>
      <c r="G1234" s="270"/>
      <c r="H1234" s="271"/>
      <c r="I1234" s="200"/>
      <c r="J1234" s="200"/>
    </row>
    <row r="1235" spans="1:10" x14ac:dyDescent="0.2">
      <c r="A1235" s="269"/>
      <c r="B1235" s="199"/>
      <c r="C1235" s="200"/>
      <c r="D1235" s="200"/>
      <c r="E1235" s="200"/>
      <c r="F1235" s="201"/>
      <c r="G1235" s="270"/>
      <c r="H1235" s="271"/>
      <c r="I1235" s="200"/>
      <c r="J1235" s="200"/>
    </row>
    <row r="1236" spans="1:10" x14ac:dyDescent="0.2">
      <c r="A1236" s="269"/>
      <c r="B1236" s="199"/>
      <c r="C1236" s="200"/>
      <c r="D1236" s="200"/>
      <c r="E1236" s="200"/>
      <c r="F1236" s="201"/>
      <c r="G1236" s="270"/>
      <c r="H1236" s="271"/>
      <c r="I1236" s="200"/>
      <c r="J1236" s="200"/>
    </row>
    <row r="1237" spans="1:10" x14ac:dyDescent="0.2">
      <c r="A1237" s="269"/>
      <c r="B1237" s="199"/>
      <c r="C1237" s="200"/>
      <c r="D1237" s="200"/>
      <c r="E1237" s="200"/>
      <c r="F1237" s="201"/>
      <c r="G1237" s="270"/>
      <c r="H1237" s="271"/>
      <c r="I1237" s="200"/>
      <c r="J1237" s="200"/>
    </row>
    <row r="1238" spans="1:10" x14ac:dyDescent="0.2">
      <c r="A1238" s="269"/>
      <c r="B1238" s="199"/>
      <c r="C1238" s="272"/>
      <c r="D1238" s="272"/>
      <c r="E1238" s="272"/>
      <c r="F1238" s="201"/>
      <c r="G1238" s="270"/>
      <c r="H1238" s="271"/>
      <c r="I1238" s="200"/>
      <c r="J1238" s="272"/>
    </row>
    <row r="1239" spans="1:10" x14ac:dyDescent="0.2">
      <c r="A1239" s="269"/>
      <c r="B1239" s="199"/>
      <c r="C1239" s="200"/>
      <c r="D1239" s="200"/>
      <c r="E1239" s="200"/>
      <c r="F1239" s="201"/>
      <c r="G1239" s="270"/>
      <c r="H1239" s="271"/>
      <c r="I1239" s="200"/>
      <c r="J1239" s="200"/>
    </row>
    <row r="1240" spans="1:10" x14ac:dyDescent="0.2">
      <c r="A1240" s="269"/>
      <c r="B1240" s="199"/>
      <c r="C1240" s="200"/>
      <c r="D1240" s="200"/>
      <c r="E1240" s="200"/>
      <c r="F1240" s="201"/>
      <c r="G1240" s="270"/>
      <c r="H1240" s="271"/>
      <c r="I1240" s="200"/>
      <c r="J1240" s="200"/>
    </row>
    <row r="1241" spans="1:10" x14ac:dyDescent="0.2">
      <c r="A1241" s="269"/>
      <c r="B1241" s="199"/>
      <c r="C1241" s="200"/>
      <c r="D1241" s="200"/>
      <c r="E1241" s="200"/>
      <c r="F1241" s="201"/>
      <c r="G1241" s="270"/>
      <c r="H1241" s="271"/>
      <c r="I1241" s="200"/>
      <c r="J1241" s="200"/>
    </row>
    <row r="1242" spans="1:10" x14ac:dyDescent="0.2">
      <c r="A1242" s="269"/>
      <c r="B1242" s="199"/>
      <c r="C1242" s="200"/>
      <c r="D1242" s="200"/>
      <c r="E1242" s="200"/>
      <c r="F1242" s="201"/>
      <c r="G1242" s="270"/>
      <c r="H1242" s="271"/>
      <c r="I1242" s="200"/>
      <c r="J1242" s="200"/>
    </row>
    <row r="1243" spans="1:10" x14ac:dyDescent="0.2">
      <c r="A1243" s="269"/>
      <c r="B1243" s="199"/>
      <c r="C1243" s="200"/>
      <c r="D1243" s="200"/>
      <c r="E1243" s="200"/>
      <c r="F1243" s="201"/>
      <c r="G1243" s="270"/>
      <c r="H1243" s="271"/>
      <c r="I1243" s="200"/>
      <c r="J1243" s="200"/>
    </row>
    <row r="1244" spans="1:10" x14ac:dyDescent="0.2">
      <c r="A1244" s="269"/>
      <c r="B1244" s="199"/>
      <c r="C1244" s="200"/>
      <c r="D1244" s="200"/>
      <c r="E1244" s="200"/>
      <c r="F1244" s="201"/>
      <c r="G1244" s="270"/>
      <c r="H1244" s="271"/>
      <c r="I1244" s="200"/>
      <c r="J1244" s="200"/>
    </row>
    <row r="1245" spans="1:10" x14ac:dyDescent="0.2">
      <c r="A1245" s="269"/>
      <c r="B1245" s="199"/>
      <c r="C1245" s="200"/>
      <c r="D1245" s="200"/>
      <c r="E1245" s="200"/>
      <c r="F1245" s="201"/>
      <c r="G1245" s="270"/>
      <c r="H1245" s="271"/>
      <c r="I1245" s="200"/>
      <c r="J1245" s="200"/>
    </row>
    <row r="1246" spans="1:10" x14ac:dyDescent="0.2">
      <c r="A1246" s="269"/>
      <c r="B1246" s="199"/>
      <c r="C1246" s="200"/>
      <c r="D1246" s="200"/>
      <c r="E1246" s="200"/>
      <c r="F1246" s="201"/>
      <c r="G1246" s="270"/>
      <c r="H1246" s="271"/>
      <c r="I1246" s="200"/>
      <c r="J1246" s="200"/>
    </row>
    <row r="1247" spans="1:10" x14ac:dyDescent="0.2">
      <c r="A1247" s="269"/>
      <c r="B1247" s="199"/>
      <c r="C1247" s="200"/>
      <c r="D1247" s="200"/>
      <c r="E1247" s="200"/>
      <c r="F1247" s="201"/>
      <c r="G1247" s="270"/>
      <c r="H1247" s="271"/>
      <c r="I1247" s="200"/>
      <c r="J1247" s="200"/>
    </row>
    <row r="1248" spans="1:10" x14ac:dyDescent="0.2">
      <c r="A1248" s="269"/>
      <c r="B1248" s="199"/>
      <c r="C1248" s="200"/>
      <c r="D1248" s="200"/>
      <c r="E1248" s="200"/>
      <c r="F1248" s="201"/>
      <c r="G1248" s="200"/>
      <c r="H1248" s="201"/>
      <c r="I1248" s="200"/>
      <c r="J1248" s="200"/>
    </row>
    <row r="1249" spans="1:10" x14ac:dyDescent="0.2">
      <c r="A1249" s="269"/>
      <c r="B1249" s="199"/>
      <c r="C1249" s="200"/>
      <c r="D1249" s="200"/>
      <c r="E1249" s="200"/>
      <c r="F1249" s="201"/>
      <c r="G1249" s="270"/>
      <c r="H1249" s="271"/>
      <c r="I1249" s="200"/>
      <c r="J1249" s="200"/>
    </row>
    <row r="1250" spans="1:10" x14ac:dyDescent="0.2">
      <c r="A1250" s="269"/>
      <c r="B1250" s="199"/>
      <c r="C1250" s="200"/>
      <c r="D1250" s="200"/>
      <c r="E1250" s="200"/>
      <c r="F1250" s="201"/>
      <c r="G1250" s="200"/>
      <c r="H1250" s="201"/>
      <c r="I1250" s="200"/>
      <c r="J1250" s="200"/>
    </row>
    <row r="1251" spans="1:10" x14ac:dyDescent="0.2">
      <c r="A1251" s="269"/>
      <c r="B1251" s="199"/>
      <c r="C1251" s="200"/>
      <c r="D1251" s="200"/>
      <c r="E1251" s="200"/>
      <c r="F1251" s="201"/>
      <c r="G1251" s="270"/>
      <c r="H1251" s="271"/>
      <c r="I1251" s="200"/>
      <c r="J1251" s="200"/>
    </row>
    <row r="1252" spans="1:10" x14ac:dyDescent="0.2">
      <c r="A1252" s="269"/>
      <c r="B1252" s="199"/>
      <c r="C1252" s="272"/>
      <c r="D1252" s="272"/>
      <c r="E1252" s="272"/>
      <c r="F1252" s="201"/>
      <c r="G1252" s="270"/>
      <c r="H1252" s="271"/>
      <c r="I1252" s="272"/>
      <c r="J1252" s="272"/>
    </row>
    <row r="1253" spans="1:10" x14ac:dyDescent="0.2">
      <c r="A1253" s="269"/>
      <c r="B1253" s="199"/>
      <c r="C1253" s="272"/>
      <c r="D1253" s="272"/>
      <c r="E1253" s="272"/>
      <c r="F1253" s="201"/>
      <c r="G1253" s="270"/>
      <c r="H1253" s="271"/>
      <c r="I1253" s="272"/>
      <c r="J1253" s="272"/>
    </row>
    <row r="1254" spans="1:10" x14ac:dyDescent="0.2">
      <c r="A1254" s="269"/>
      <c r="B1254" s="199"/>
      <c r="C1254" s="200"/>
      <c r="D1254" s="200"/>
      <c r="E1254" s="200"/>
      <c r="F1254" s="201"/>
      <c r="G1254" s="270"/>
      <c r="H1254" s="271"/>
      <c r="I1254" s="200"/>
      <c r="J1254" s="200"/>
    </row>
    <row r="1255" spans="1:10" x14ac:dyDescent="0.2">
      <c r="A1255" s="269"/>
      <c r="B1255" s="199"/>
      <c r="C1255" s="272"/>
      <c r="D1255" s="272"/>
      <c r="E1255" s="272"/>
      <c r="F1255" s="201"/>
      <c r="G1255" s="270"/>
      <c r="H1255" s="271"/>
      <c r="I1255" s="272"/>
      <c r="J1255" s="272"/>
    </row>
    <row r="1256" spans="1:10" x14ac:dyDescent="0.2">
      <c r="A1256" s="269"/>
      <c r="B1256" s="199"/>
      <c r="C1256" s="200"/>
      <c r="D1256" s="200"/>
      <c r="E1256" s="200"/>
      <c r="F1256" s="201"/>
      <c r="G1256" s="270"/>
      <c r="H1256" s="271"/>
      <c r="I1256" s="200"/>
      <c r="J1256" s="200"/>
    </row>
    <row r="1257" spans="1:10" x14ac:dyDescent="0.2">
      <c r="A1257" s="269"/>
      <c r="B1257" s="199"/>
      <c r="C1257" s="200"/>
      <c r="D1257" s="200"/>
      <c r="E1257" s="200"/>
      <c r="F1257" s="201"/>
      <c r="G1257" s="270"/>
      <c r="H1257" s="271"/>
      <c r="I1257" s="200"/>
      <c r="J1257" s="200"/>
    </row>
    <row r="1258" spans="1:10" x14ac:dyDescent="0.2">
      <c r="A1258" s="269"/>
      <c r="B1258" s="199"/>
      <c r="C1258" s="200"/>
      <c r="D1258" s="200"/>
      <c r="E1258" s="200"/>
      <c r="F1258" s="201"/>
      <c r="G1258" s="270"/>
      <c r="H1258" s="271"/>
      <c r="I1258" s="200"/>
      <c r="J1258" s="200"/>
    </row>
    <row r="1259" spans="1:10" x14ac:dyDescent="0.2">
      <c r="A1259" s="269"/>
      <c r="B1259" s="199"/>
      <c r="C1259" s="200"/>
      <c r="D1259" s="200"/>
      <c r="E1259" s="200"/>
      <c r="F1259" s="201"/>
      <c r="G1259" s="270"/>
      <c r="H1259" s="271"/>
      <c r="I1259" s="200"/>
      <c r="J1259" s="200"/>
    </row>
    <row r="1260" spans="1:10" x14ac:dyDescent="0.2">
      <c r="A1260" s="269"/>
      <c r="B1260" s="199"/>
      <c r="C1260" s="272"/>
      <c r="D1260" s="272"/>
      <c r="E1260" s="272"/>
      <c r="F1260" s="201"/>
      <c r="G1260" s="200"/>
      <c r="H1260" s="201"/>
      <c r="I1260" s="200"/>
      <c r="J1260" s="272"/>
    </row>
    <row r="1261" spans="1:10" x14ac:dyDescent="0.2">
      <c r="A1261" s="269"/>
      <c r="B1261" s="199"/>
      <c r="C1261" s="272"/>
      <c r="D1261" s="272"/>
      <c r="E1261" s="272"/>
      <c r="F1261" s="201"/>
      <c r="G1261" s="270"/>
      <c r="H1261" s="271"/>
      <c r="I1261" s="272"/>
      <c r="J1261" s="272"/>
    </row>
    <row r="1262" spans="1:10" x14ac:dyDescent="0.2">
      <c r="A1262" s="269"/>
      <c r="B1262" s="199"/>
      <c r="C1262" s="200"/>
      <c r="D1262" s="200"/>
      <c r="E1262" s="200"/>
      <c r="F1262" s="201"/>
      <c r="G1262" s="270"/>
      <c r="H1262" s="271"/>
      <c r="I1262" s="200"/>
      <c r="J1262" s="200"/>
    </row>
    <row r="1263" spans="1:10" x14ac:dyDescent="0.2">
      <c r="A1263" s="269"/>
      <c r="B1263" s="199"/>
      <c r="C1263" s="200"/>
      <c r="D1263" s="200"/>
      <c r="E1263" s="200"/>
      <c r="F1263" s="201"/>
      <c r="G1263" s="270"/>
      <c r="H1263" s="271"/>
      <c r="I1263" s="200"/>
      <c r="J1263" s="200"/>
    </row>
    <row r="1264" spans="1:10" x14ac:dyDescent="0.2">
      <c r="A1264" s="269"/>
      <c r="B1264" s="199"/>
      <c r="C1264" s="200"/>
      <c r="D1264" s="200"/>
      <c r="E1264" s="200"/>
      <c r="F1264" s="201"/>
      <c r="G1264" s="270"/>
      <c r="H1264" s="271"/>
      <c r="I1264" s="200"/>
      <c r="J1264" s="200"/>
    </row>
    <row r="1265" spans="1:10" x14ac:dyDescent="0.2">
      <c r="A1265" s="269"/>
      <c r="B1265" s="199"/>
      <c r="C1265" s="272"/>
      <c r="D1265" s="272"/>
      <c r="E1265" s="272"/>
      <c r="F1265" s="201"/>
      <c r="G1265" s="270"/>
      <c r="H1265" s="271"/>
      <c r="I1265" s="200"/>
      <c r="J1265" s="272"/>
    </row>
    <row r="1266" spans="1:10" x14ac:dyDescent="0.2">
      <c r="A1266" s="269"/>
      <c r="B1266" s="199"/>
      <c r="C1266" s="200"/>
      <c r="D1266" s="200"/>
      <c r="E1266" s="200"/>
      <c r="F1266" s="201"/>
      <c r="G1266" s="270"/>
      <c r="H1266" s="271"/>
      <c r="I1266" s="200"/>
      <c r="J1266" s="200"/>
    </row>
    <row r="1267" spans="1:10" x14ac:dyDescent="0.2">
      <c r="A1267" s="269"/>
      <c r="B1267" s="199"/>
      <c r="C1267" s="200"/>
      <c r="D1267" s="200"/>
      <c r="E1267" s="200"/>
      <c r="F1267" s="201"/>
      <c r="G1267" s="270"/>
      <c r="H1267" s="271"/>
      <c r="I1267" s="200"/>
      <c r="J1267" s="200"/>
    </row>
    <row r="1268" spans="1:10" x14ac:dyDescent="0.2">
      <c r="A1268" s="269"/>
      <c r="B1268" s="199"/>
      <c r="C1268" s="200"/>
      <c r="D1268" s="200"/>
      <c r="E1268" s="200"/>
      <c r="F1268" s="201"/>
      <c r="G1268" s="270"/>
      <c r="H1268" s="271"/>
      <c r="I1268" s="200"/>
      <c r="J1268" s="200"/>
    </row>
    <row r="1269" spans="1:10" x14ac:dyDescent="0.2">
      <c r="A1269" s="269"/>
      <c r="B1269" s="199"/>
      <c r="C1269" s="200"/>
      <c r="D1269" s="200"/>
      <c r="E1269" s="200"/>
      <c r="F1269" s="201"/>
      <c r="G1269" s="270"/>
      <c r="H1269" s="271"/>
      <c r="I1269" s="200"/>
      <c r="J1269" s="200"/>
    </row>
    <row r="1270" spans="1:10" x14ac:dyDescent="0.2">
      <c r="A1270" s="269"/>
      <c r="B1270" s="199"/>
      <c r="C1270" s="272"/>
      <c r="D1270" s="272"/>
      <c r="E1270" s="272"/>
      <c r="F1270" s="201"/>
      <c r="G1270" s="270"/>
      <c r="H1270" s="271"/>
      <c r="I1270" s="200"/>
      <c r="J1270" s="272"/>
    </row>
    <row r="1271" spans="1:10" x14ac:dyDescent="0.2">
      <c r="A1271" s="269"/>
      <c r="B1271" s="199"/>
      <c r="C1271" s="200"/>
      <c r="D1271" s="200"/>
      <c r="E1271" s="200"/>
      <c r="F1271" s="201"/>
      <c r="G1271" s="270"/>
      <c r="H1271" s="271"/>
      <c r="I1271" s="200"/>
      <c r="J1271" s="200"/>
    </row>
    <row r="1272" spans="1:10" x14ac:dyDescent="0.2">
      <c r="A1272" s="269"/>
      <c r="B1272" s="199"/>
      <c r="C1272" s="200"/>
      <c r="D1272" s="200"/>
      <c r="E1272" s="200"/>
      <c r="F1272" s="201"/>
      <c r="G1272" s="270"/>
      <c r="H1272" s="271"/>
      <c r="I1272" s="200"/>
      <c r="J1272" s="200"/>
    </row>
    <row r="1273" spans="1:10" x14ac:dyDescent="0.2">
      <c r="A1273" s="269"/>
      <c r="B1273" s="199"/>
      <c r="C1273" s="200"/>
      <c r="D1273" s="200"/>
      <c r="E1273" s="200"/>
      <c r="F1273" s="201"/>
      <c r="G1273" s="270"/>
      <c r="H1273" s="271"/>
      <c r="I1273" s="200"/>
      <c r="J1273" s="200"/>
    </row>
    <row r="1274" spans="1:10" x14ac:dyDescent="0.2">
      <c r="A1274" s="269"/>
      <c r="B1274" s="199"/>
      <c r="C1274" s="200"/>
      <c r="D1274" s="200"/>
      <c r="E1274" s="200"/>
      <c r="F1274" s="201"/>
      <c r="G1274" s="270"/>
      <c r="H1274" s="271"/>
      <c r="I1274" s="200"/>
      <c r="J1274" s="200"/>
    </row>
    <row r="1275" spans="1:10" x14ac:dyDescent="0.2">
      <c r="A1275" s="269"/>
      <c r="B1275" s="199"/>
      <c r="C1275" s="272"/>
      <c r="D1275" s="272"/>
      <c r="E1275" s="272"/>
      <c r="F1275" s="201"/>
      <c r="G1275" s="270"/>
      <c r="H1275" s="271"/>
      <c r="I1275" s="200"/>
      <c r="J1275" s="272"/>
    </row>
    <row r="1276" spans="1:10" x14ac:dyDescent="0.2">
      <c r="A1276" s="269"/>
      <c r="B1276" s="199"/>
      <c r="C1276" s="200"/>
      <c r="D1276" s="200"/>
      <c r="E1276" s="200"/>
      <c r="F1276" s="201"/>
      <c r="G1276" s="270"/>
      <c r="H1276" s="271"/>
      <c r="I1276" s="200"/>
      <c r="J1276" s="200"/>
    </row>
    <row r="1277" spans="1:10" x14ac:dyDescent="0.2">
      <c r="A1277" s="269"/>
      <c r="B1277" s="199"/>
      <c r="C1277" s="200"/>
      <c r="D1277" s="200"/>
      <c r="E1277" s="200"/>
      <c r="F1277" s="201"/>
      <c r="G1277" s="270"/>
      <c r="H1277" s="271"/>
      <c r="I1277" s="200"/>
      <c r="J1277" s="200"/>
    </row>
    <row r="1278" spans="1:10" x14ac:dyDescent="0.2">
      <c r="A1278" s="269"/>
      <c r="B1278" s="199"/>
      <c r="C1278" s="200"/>
      <c r="D1278" s="200"/>
      <c r="E1278" s="200"/>
      <c r="F1278" s="201"/>
      <c r="G1278" s="270"/>
      <c r="H1278" s="271"/>
      <c r="I1278" s="200"/>
      <c r="J1278" s="200"/>
    </row>
    <row r="1279" spans="1:10" x14ac:dyDescent="0.2">
      <c r="A1279" s="269"/>
      <c r="B1279" s="199"/>
      <c r="C1279" s="272"/>
      <c r="D1279" s="272"/>
      <c r="E1279" s="272"/>
      <c r="F1279" s="201"/>
      <c r="G1279" s="270"/>
      <c r="H1279" s="271"/>
      <c r="I1279" s="200"/>
      <c r="J1279" s="272"/>
    </row>
    <row r="1280" spans="1:10" x14ac:dyDescent="0.2">
      <c r="A1280" s="269"/>
      <c r="B1280" s="199"/>
      <c r="C1280" s="200"/>
      <c r="D1280" s="200"/>
      <c r="E1280" s="200"/>
      <c r="F1280" s="201"/>
      <c r="G1280" s="270"/>
      <c r="H1280" s="271"/>
      <c r="I1280" s="200"/>
      <c r="J1280" s="200"/>
    </row>
    <row r="1281" spans="1:10" x14ac:dyDescent="0.2">
      <c r="A1281" s="269"/>
      <c r="B1281" s="199"/>
      <c r="C1281" s="200"/>
      <c r="D1281" s="200"/>
      <c r="E1281" s="200"/>
      <c r="F1281" s="201"/>
      <c r="G1281" s="270"/>
      <c r="H1281" s="271"/>
      <c r="I1281" s="200"/>
      <c r="J1281" s="200"/>
    </row>
    <row r="1282" spans="1:10" x14ac:dyDescent="0.2">
      <c r="A1282" s="269"/>
      <c r="B1282" s="199"/>
      <c r="C1282" s="272"/>
      <c r="D1282" s="272"/>
      <c r="E1282" s="272"/>
      <c r="F1282" s="201"/>
      <c r="G1282" s="270"/>
      <c r="H1282" s="271"/>
      <c r="I1282" s="200"/>
      <c r="J1282" s="272"/>
    </row>
    <row r="1283" spans="1:10" x14ac:dyDescent="0.2">
      <c r="A1283" s="269"/>
      <c r="B1283" s="199"/>
      <c r="C1283" s="200"/>
      <c r="D1283" s="200"/>
      <c r="E1283" s="200"/>
      <c r="F1283" s="201"/>
      <c r="G1283" s="270"/>
      <c r="H1283" s="271"/>
      <c r="I1283" s="200"/>
      <c r="J1283" s="200"/>
    </row>
    <row r="1284" spans="1:10" x14ac:dyDescent="0.2">
      <c r="A1284" s="269"/>
      <c r="B1284" s="199"/>
      <c r="C1284" s="200"/>
      <c r="D1284" s="200"/>
      <c r="E1284" s="200"/>
      <c r="F1284" s="201"/>
      <c r="G1284" s="270"/>
      <c r="H1284" s="271"/>
      <c r="I1284" s="200"/>
      <c r="J1284" s="200"/>
    </row>
    <row r="1285" spans="1:10" x14ac:dyDescent="0.2">
      <c r="A1285" s="269"/>
      <c r="B1285" s="199"/>
      <c r="C1285" s="200"/>
      <c r="D1285" s="200"/>
      <c r="E1285" s="200"/>
      <c r="F1285" s="201"/>
      <c r="G1285" s="270"/>
      <c r="H1285" s="271"/>
      <c r="I1285" s="200"/>
      <c r="J1285" s="200"/>
    </row>
    <row r="1286" spans="1:10" x14ac:dyDescent="0.2">
      <c r="A1286" s="269"/>
      <c r="B1286" s="199"/>
      <c r="C1286" s="200"/>
      <c r="D1286" s="200"/>
      <c r="E1286" s="200"/>
      <c r="F1286" s="201"/>
      <c r="G1286" s="270"/>
      <c r="H1286" s="271"/>
      <c r="I1286" s="200"/>
      <c r="J1286" s="200"/>
    </row>
  </sheetData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10" r:id="rId3" name="Button 46">
              <controlPr defaultSize="0" print="0" autoFill="0" autoPict="0" macro="[2]!EDV">
                <anchor moveWithCells="1">
                  <from>
                    <xdr:col>12</xdr:col>
                    <xdr:colOff>19050</xdr:colOff>
                    <xdr:row>6</xdr:row>
                    <xdr:rowOff>95250</xdr:rowOff>
                  </from>
                  <to>
                    <xdr:col>13</xdr:col>
                    <xdr:colOff>123825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1" r:id="rId4" name="Button 47">
              <controlPr defaultSize="0" print="0" autoFill="0" autoPict="0" macro="[2]!Name">
                <anchor moveWithCells="1">
                  <from>
                    <xdr:col>12</xdr:col>
                    <xdr:colOff>19050</xdr:colOff>
                    <xdr:row>8</xdr:row>
                    <xdr:rowOff>114300</xdr:rowOff>
                  </from>
                  <to>
                    <xdr:col>13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2" r:id="rId5" name="Button 48">
              <controlPr defaultSize="0" print="0" autoFill="0" autoPict="0" macro="[2]!Verein">
                <anchor moveWithCells="1">
                  <from>
                    <xdr:col>12</xdr:col>
                    <xdr:colOff>19050</xdr:colOff>
                    <xdr:row>11</xdr:row>
                    <xdr:rowOff>0</xdr:rowOff>
                  </from>
                  <to>
                    <xdr:col>13</xdr:col>
                    <xdr:colOff>133350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2FB09-015C-42E6-BE2D-CD848B532372}">
  <sheetPr>
    <tabColor theme="1"/>
    <pageSetUpPr autoPageBreaks="0"/>
  </sheetPr>
  <dimension ref="A1:V86"/>
  <sheetViews>
    <sheetView showGridLines="0" topLeftCell="A64" zoomScaleNormal="100" workbookViewId="0">
      <selection activeCell="D85" sqref="D85:M85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3" t="s">
        <v>1824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</row>
    <row r="3" spans="2:21" ht="11.25" customHeight="1" x14ac:dyDescent="0.4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2:21" ht="18" customHeight="1" thickBot="1" x14ac:dyDescent="0.25">
      <c r="P4" s="124"/>
      <c r="Q4" s="334"/>
      <c r="R4" s="334"/>
      <c r="S4" s="334"/>
      <c r="T4" s="334"/>
      <c r="U4" s="334"/>
    </row>
    <row r="5" spans="2:21" ht="11.25" customHeight="1" x14ac:dyDescent="0.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2:21" x14ac:dyDescent="0.2">
      <c r="B6" s="61"/>
      <c r="C6" s="128" t="s">
        <v>1787</v>
      </c>
      <c r="D6" s="128"/>
      <c r="E6" s="335">
        <f>+Spielzettel1!M2</f>
        <v>1</v>
      </c>
      <c r="F6" s="336"/>
      <c r="P6" s="128" t="s">
        <v>1825</v>
      </c>
      <c r="Q6" s="337" t="str">
        <f>+Spielzettel1!L1</f>
        <v>13.10.</v>
      </c>
      <c r="R6" s="338">
        <v>0</v>
      </c>
      <c r="S6" s="338">
        <v>0</v>
      </c>
      <c r="T6" s="339">
        <v>0</v>
      </c>
      <c r="U6" s="62"/>
    </row>
    <row r="7" spans="2:21" x14ac:dyDescent="0.2">
      <c r="B7" s="61"/>
      <c r="C7" s="128"/>
      <c r="D7" s="128"/>
      <c r="U7" s="62"/>
    </row>
    <row r="8" spans="2:21" x14ac:dyDescent="0.2">
      <c r="B8" s="61"/>
      <c r="C8" s="128" t="s">
        <v>1826</v>
      </c>
      <c r="D8" s="128"/>
      <c r="E8" s="340" t="str">
        <f>+Spielzettel1!D2</f>
        <v>Nürnberg West Bowling</v>
      </c>
      <c r="F8" s="341"/>
      <c r="G8" s="341"/>
      <c r="H8" s="341">
        <v>0</v>
      </c>
      <c r="I8" s="341"/>
      <c r="J8" s="342"/>
      <c r="N8" s="128" t="s">
        <v>1827</v>
      </c>
      <c r="P8" s="340" t="str">
        <f>+Spielzettel1!D1</f>
        <v>Bezirksliga N1 Männer</v>
      </c>
      <c r="Q8" s="341"/>
      <c r="R8" s="341"/>
      <c r="S8" s="341"/>
      <c r="T8" s="342"/>
      <c r="U8" s="62"/>
    </row>
    <row r="9" spans="2:21" ht="11.25" customHeight="1" thickBot="1" x14ac:dyDescent="0.25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129"/>
    </row>
    <row r="10" spans="2:21" ht="13.5" thickBot="1" x14ac:dyDescent="0.25"/>
    <row r="11" spans="2:21" s="2" customFormat="1" ht="30" customHeight="1" thickBot="1" x14ac:dyDescent="0.25">
      <c r="B11" s="130"/>
      <c r="C11" s="327" t="s">
        <v>1828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31"/>
    </row>
    <row r="12" spans="2:21" ht="21.75" customHeight="1" x14ac:dyDescent="0.25">
      <c r="B12" s="132"/>
      <c r="C12" s="328" t="s">
        <v>1829</v>
      </c>
      <c r="D12" s="328"/>
      <c r="E12" s="328"/>
      <c r="F12" s="328"/>
      <c r="G12" s="328"/>
      <c r="H12" s="328"/>
      <c r="I12" s="328"/>
      <c r="J12" s="328"/>
      <c r="L12" s="133">
        <v>0.34375</v>
      </c>
      <c r="M12" s="134" t="s">
        <v>1830</v>
      </c>
      <c r="P12" s="106"/>
      <c r="U12" s="62"/>
    </row>
    <row r="13" spans="2:21" ht="6.75" customHeight="1" thickBot="1" x14ac:dyDescent="0.3">
      <c r="B13" s="135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129"/>
    </row>
    <row r="14" spans="2:21" ht="12.75" customHeight="1" x14ac:dyDescent="0.2">
      <c r="B14" s="61"/>
      <c r="U14" s="62"/>
    </row>
    <row r="15" spans="2:21" x14ac:dyDescent="0.2">
      <c r="B15" s="61"/>
      <c r="C15" s="136" t="s">
        <v>1831</v>
      </c>
      <c r="D15" s="136"/>
      <c r="F15" s="137" t="s">
        <v>2370</v>
      </c>
      <c r="G15" s="138"/>
      <c r="H15" t="s">
        <v>1832</v>
      </c>
      <c r="J15" s="137"/>
      <c r="L15" t="s">
        <v>1833</v>
      </c>
      <c r="U15" s="62"/>
    </row>
    <row r="16" spans="2:21" x14ac:dyDescent="0.2">
      <c r="B16" s="61"/>
      <c r="C16" s="136"/>
      <c r="D16" s="136"/>
      <c r="F16" s="7"/>
      <c r="J16" s="103"/>
      <c r="U16" s="62"/>
    </row>
    <row r="17" spans="2:21" x14ac:dyDescent="0.2">
      <c r="B17" s="61"/>
      <c r="C17" s="136" t="s">
        <v>1834</v>
      </c>
      <c r="D17" s="136"/>
      <c r="F17" s="137" t="s">
        <v>2370</v>
      </c>
      <c r="G17" s="138"/>
      <c r="H17" t="s">
        <v>1832</v>
      </c>
      <c r="J17" s="137"/>
      <c r="L17" t="s">
        <v>1833</v>
      </c>
      <c r="U17" s="62"/>
    </row>
    <row r="18" spans="2:21" ht="18.75" customHeight="1" x14ac:dyDescent="0.2">
      <c r="B18" s="61"/>
      <c r="C18" s="136" t="s">
        <v>1835</v>
      </c>
      <c r="D18" s="1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62"/>
    </row>
    <row r="19" spans="2:21" ht="35.1" customHeight="1" x14ac:dyDescent="0.2">
      <c r="B19" s="61"/>
      <c r="C19" s="321"/>
      <c r="D19" s="322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62"/>
    </row>
    <row r="20" spans="2:21" ht="12.75" customHeight="1" x14ac:dyDescent="0.2">
      <c r="B20" s="61"/>
      <c r="C20" s="139"/>
      <c r="D20" s="139"/>
      <c r="E20" s="140"/>
      <c r="F20" s="141"/>
      <c r="G20" s="140"/>
      <c r="H20" s="140"/>
      <c r="I20" s="140"/>
      <c r="J20" s="141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62"/>
    </row>
    <row r="21" spans="2:21" ht="13.5" customHeight="1" x14ac:dyDescent="0.2">
      <c r="B21" s="61"/>
      <c r="C21" s="136" t="s">
        <v>1836</v>
      </c>
      <c r="D21" s="136"/>
      <c r="U21" s="62"/>
    </row>
    <row r="22" spans="2:21" x14ac:dyDescent="0.2">
      <c r="B22" s="61"/>
      <c r="C22" s="136" t="s">
        <v>1837</v>
      </c>
      <c r="D22" s="136"/>
      <c r="F22" s="137"/>
      <c r="H22" t="s">
        <v>1832</v>
      </c>
      <c r="J22" s="137" t="s">
        <v>2370</v>
      </c>
      <c r="L22" t="s">
        <v>1833</v>
      </c>
      <c r="U22" s="62"/>
    </row>
    <row r="23" spans="2:21" ht="18.75" customHeight="1" x14ac:dyDescent="0.2">
      <c r="B23" s="61"/>
      <c r="C23" s="136" t="s">
        <v>1835</v>
      </c>
      <c r="D23" s="1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62"/>
    </row>
    <row r="24" spans="2:21" ht="35.1" customHeight="1" x14ac:dyDescent="0.2">
      <c r="B24" s="61"/>
      <c r="C24" s="321" t="s">
        <v>2372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62"/>
    </row>
    <row r="25" spans="2:21" ht="12.75" customHeight="1" thickBot="1" x14ac:dyDescent="0.25">
      <c r="B25" s="61"/>
      <c r="C25" s="142"/>
      <c r="D25" s="142"/>
      <c r="U25" s="62"/>
    </row>
    <row r="26" spans="2:21" ht="13.5" hidden="1" customHeight="1" x14ac:dyDescent="0.2">
      <c r="B26" s="61"/>
      <c r="C26" s="136" t="s">
        <v>1838</v>
      </c>
      <c r="D26" s="136"/>
      <c r="U26" s="62"/>
    </row>
    <row r="27" spans="2:21" hidden="1" x14ac:dyDescent="0.2">
      <c r="B27" s="61"/>
      <c r="C27" s="136" t="s">
        <v>1839</v>
      </c>
      <c r="D27" s="136"/>
      <c r="F27" s="137"/>
      <c r="H27" t="s">
        <v>1832</v>
      </c>
      <c r="J27" s="137"/>
      <c r="L27" t="s">
        <v>1833</v>
      </c>
      <c r="U27" s="62"/>
    </row>
    <row r="28" spans="2:21" ht="18.75" hidden="1" customHeight="1" x14ac:dyDescent="0.2">
      <c r="B28" s="61"/>
      <c r="C28" s="136" t="s">
        <v>1835</v>
      </c>
      <c r="D28" s="1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2"/>
    </row>
    <row r="29" spans="2:21" ht="35.1" hidden="1" customHeight="1" x14ac:dyDescent="0.2">
      <c r="B29" s="61"/>
      <c r="C29" s="321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62"/>
    </row>
    <row r="30" spans="2:21" ht="12.75" hidden="1" customHeight="1" thickBot="1" x14ac:dyDescent="0.25">
      <c r="B30" s="61"/>
      <c r="C30" s="142"/>
      <c r="D30" s="142"/>
      <c r="P30" s="143"/>
      <c r="U30" s="62"/>
    </row>
    <row r="31" spans="2:21" s="148" customFormat="1" ht="21.75" customHeight="1" x14ac:dyDescent="0.25">
      <c r="B31" s="144" t="s">
        <v>1840</v>
      </c>
      <c r="C31" s="145"/>
      <c r="D31" s="145"/>
      <c r="E31" s="145"/>
      <c r="F31" s="145"/>
      <c r="G31" s="145"/>
      <c r="H31" s="146">
        <v>0.51041666666666663</v>
      </c>
      <c r="I31" s="145"/>
      <c r="J31" s="147" t="s">
        <v>1841</v>
      </c>
      <c r="K31" s="147"/>
      <c r="L31" s="146">
        <v>0.54166666666666663</v>
      </c>
      <c r="M31" s="147" t="s">
        <v>1830</v>
      </c>
      <c r="N31" s="147"/>
      <c r="O31" s="147"/>
      <c r="P31" s="145"/>
      <c r="Q31" s="145"/>
      <c r="R31" s="145"/>
      <c r="S31" s="145"/>
      <c r="T31" s="145"/>
      <c r="U31" s="149"/>
    </row>
    <row r="32" spans="2:21" ht="9" customHeight="1" thickBot="1" x14ac:dyDescent="0.3">
      <c r="B32" s="13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129"/>
    </row>
    <row r="33" spans="2:21" ht="9" customHeight="1" x14ac:dyDescent="0.25">
      <c r="B33" s="150"/>
      <c r="U33" s="62"/>
    </row>
    <row r="34" spans="2:21" x14ac:dyDescent="0.2">
      <c r="B34" s="61"/>
      <c r="C34" s="136" t="s">
        <v>1842</v>
      </c>
      <c r="D34" s="136"/>
      <c r="F34" s="137"/>
      <c r="H34" t="s">
        <v>1832</v>
      </c>
      <c r="J34" s="137" t="s">
        <v>2370</v>
      </c>
      <c r="L34" t="s">
        <v>1833</v>
      </c>
      <c r="U34" s="62"/>
    </row>
    <row r="35" spans="2:21" ht="17.25" customHeight="1" x14ac:dyDescent="0.2">
      <c r="B35" s="61"/>
      <c r="C35" s="136" t="s">
        <v>1843</v>
      </c>
      <c r="D35" s="136"/>
      <c r="F35" s="331"/>
      <c r="G35" s="331"/>
      <c r="H35" s="136"/>
      <c r="U35" s="62"/>
    </row>
    <row r="36" spans="2:21" ht="17.25" customHeight="1" x14ac:dyDescent="0.2">
      <c r="B36" s="61"/>
      <c r="C36" s="136" t="s">
        <v>1844</v>
      </c>
      <c r="D36" s="1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2"/>
    </row>
    <row r="37" spans="2:21" ht="35.1" customHeight="1" x14ac:dyDescent="0.2">
      <c r="B37" s="61"/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3"/>
      <c r="U37" s="62"/>
    </row>
    <row r="38" spans="2:21" x14ac:dyDescent="0.2">
      <c r="B38" s="61"/>
      <c r="C38" s="142"/>
      <c r="D38" s="142"/>
      <c r="U38" s="62"/>
    </row>
    <row r="39" spans="2:21" ht="6.75" customHeight="1" x14ac:dyDescent="0.2">
      <c r="B39" s="61"/>
      <c r="C39" s="142"/>
      <c r="D39" s="142"/>
      <c r="U39" s="62"/>
    </row>
    <row r="40" spans="2:21" x14ac:dyDescent="0.2">
      <c r="B40" s="61"/>
      <c r="C40" s="136" t="s">
        <v>1845</v>
      </c>
      <c r="D40" s="136"/>
      <c r="F40" s="137" t="s">
        <v>2370</v>
      </c>
      <c r="H40" t="s">
        <v>1846</v>
      </c>
      <c r="J40" s="137"/>
      <c r="L40" s="151" t="s">
        <v>1847</v>
      </c>
      <c r="N40" s="137"/>
      <c r="P40" t="s">
        <v>1848</v>
      </c>
      <c r="U40" s="62"/>
    </row>
    <row r="41" spans="2:21" ht="16.5" customHeight="1" x14ac:dyDescent="0.2">
      <c r="B41" s="61"/>
      <c r="C41" s="152" t="s">
        <v>1849</v>
      </c>
      <c r="D41" s="152"/>
      <c r="F41" s="332"/>
      <c r="G41" s="332"/>
      <c r="H41" s="332"/>
      <c r="U41" s="62"/>
    </row>
    <row r="42" spans="2:21" ht="11.25" customHeight="1" x14ac:dyDescent="0.2">
      <c r="B42" s="61"/>
      <c r="U42" s="62"/>
    </row>
    <row r="43" spans="2:21" ht="15" x14ac:dyDescent="0.25">
      <c r="B43" s="153" t="s">
        <v>1850</v>
      </c>
      <c r="U43" s="62"/>
    </row>
    <row r="44" spans="2:21" ht="9" customHeight="1" x14ac:dyDescent="0.2">
      <c r="B44" s="61"/>
      <c r="U44" s="62"/>
    </row>
    <row r="45" spans="2:21" ht="80.25" customHeight="1" x14ac:dyDescent="0.2">
      <c r="B45" s="61"/>
      <c r="C45" s="321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3"/>
      <c r="U45" s="62"/>
    </row>
    <row r="46" spans="2:21" ht="11.25" customHeight="1" thickBot="1" x14ac:dyDescent="0.25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129"/>
    </row>
    <row r="47" spans="2:21" ht="13.5" thickBot="1" x14ac:dyDescent="0.25"/>
    <row r="48" spans="2:21" s="2" customFormat="1" ht="30" customHeight="1" thickBot="1" x14ac:dyDescent="0.25">
      <c r="B48" s="130"/>
      <c r="C48" s="327" t="s">
        <v>1851</v>
      </c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131"/>
    </row>
    <row r="49" spans="2:21" ht="9" customHeight="1" x14ac:dyDescent="0.2">
      <c r="B49" s="61"/>
      <c r="U49" s="62"/>
    </row>
    <row r="50" spans="2:21" ht="15" x14ac:dyDescent="0.25">
      <c r="B50" s="153"/>
      <c r="C50" s="106" t="s">
        <v>1852</v>
      </c>
      <c r="D50" s="106"/>
      <c r="U50" s="62"/>
    </row>
    <row r="51" spans="2:21" ht="9" customHeight="1" x14ac:dyDescent="0.2">
      <c r="B51" s="61"/>
      <c r="U51" s="62"/>
    </row>
    <row r="52" spans="2:21" ht="36.75" customHeight="1" x14ac:dyDescent="0.2">
      <c r="B52" s="61"/>
      <c r="C52" s="321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3"/>
      <c r="U52" s="62"/>
    </row>
    <row r="53" spans="2:21" ht="12.75" customHeight="1" x14ac:dyDescent="0.2">
      <c r="B53" s="61"/>
      <c r="C53" s="142"/>
      <c r="D53" s="142"/>
      <c r="U53" s="62"/>
    </row>
    <row r="54" spans="2:21" ht="12.75" customHeight="1" x14ac:dyDescent="0.25">
      <c r="B54" s="153"/>
      <c r="C54" s="106" t="s">
        <v>1853</v>
      </c>
      <c r="D54" s="106"/>
      <c r="U54" s="62"/>
    </row>
    <row r="55" spans="2:21" ht="6.75" customHeight="1" x14ac:dyDescent="0.2">
      <c r="B55" s="61"/>
      <c r="U55" s="62"/>
    </row>
    <row r="56" spans="2:21" ht="36.75" customHeight="1" x14ac:dyDescent="0.2">
      <c r="B56" s="61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3"/>
      <c r="U56" s="62"/>
    </row>
    <row r="57" spans="2:21" ht="12.75" customHeight="1" x14ac:dyDescent="0.2">
      <c r="B57" s="61"/>
      <c r="C57" s="142"/>
      <c r="D57" s="142"/>
      <c r="U57" s="62"/>
    </row>
    <row r="58" spans="2:21" ht="12.75" customHeight="1" x14ac:dyDescent="0.25">
      <c r="B58" s="153"/>
      <c r="C58" s="106" t="s">
        <v>1854</v>
      </c>
      <c r="D58" s="106"/>
      <c r="U58" s="62"/>
    </row>
    <row r="59" spans="2:21" ht="6.75" customHeight="1" x14ac:dyDescent="0.2">
      <c r="B59" s="61"/>
      <c r="U59" s="62"/>
    </row>
    <row r="60" spans="2:21" ht="36.75" customHeight="1" x14ac:dyDescent="0.2">
      <c r="B60" s="61"/>
      <c r="C60" s="321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3"/>
      <c r="U60" s="62"/>
    </row>
    <row r="61" spans="2:21" ht="11.25" customHeight="1" x14ac:dyDescent="0.2">
      <c r="B61" s="61"/>
      <c r="C61" s="142"/>
      <c r="D61" s="142"/>
      <c r="U61" s="62"/>
    </row>
    <row r="62" spans="2:21" ht="13.5" customHeight="1" x14ac:dyDescent="0.25">
      <c r="B62" s="153"/>
      <c r="C62" s="106" t="s">
        <v>1855</v>
      </c>
      <c r="D62" s="106"/>
      <c r="U62" s="62"/>
    </row>
    <row r="63" spans="2:21" ht="6.75" customHeight="1" x14ac:dyDescent="0.2">
      <c r="B63" s="61"/>
      <c r="U63" s="62"/>
    </row>
    <row r="64" spans="2:21" ht="36.75" customHeight="1" x14ac:dyDescent="0.2">
      <c r="B64" s="61"/>
      <c r="C64" s="321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3"/>
      <c r="U64" s="62"/>
    </row>
    <row r="65" spans="1:21" ht="11.25" customHeight="1" x14ac:dyDescent="0.2">
      <c r="B65" s="61"/>
      <c r="C65" s="142"/>
      <c r="D65" s="142"/>
      <c r="U65" s="62"/>
    </row>
    <row r="66" spans="1:21" ht="15" x14ac:dyDescent="0.25">
      <c r="B66" s="153"/>
      <c r="C66" s="106" t="s">
        <v>1856</v>
      </c>
      <c r="D66" s="106"/>
      <c r="U66" s="62"/>
    </row>
    <row r="67" spans="1:21" ht="6" customHeight="1" x14ac:dyDescent="0.2">
      <c r="B67" s="61"/>
      <c r="U67" s="62"/>
    </row>
    <row r="68" spans="1:21" ht="36.75" customHeight="1" x14ac:dyDescent="0.2">
      <c r="B68" s="61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3"/>
      <c r="U68" s="62"/>
    </row>
    <row r="69" spans="1:21" ht="12.75" customHeight="1" x14ac:dyDescent="0.2">
      <c r="B69" s="61"/>
      <c r="C69" s="142"/>
      <c r="D69" s="142"/>
      <c r="U69" s="62"/>
    </row>
    <row r="70" spans="1:21" ht="12.75" customHeight="1" x14ac:dyDescent="0.25">
      <c r="B70" s="153"/>
      <c r="C70" s="106" t="s">
        <v>1857</v>
      </c>
      <c r="D70" s="106"/>
      <c r="U70" s="62"/>
    </row>
    <row r="71" spans="1:21" ht="6.75" customHeight="1" x14ac:dyDescent="0.2">
      <c r="B71" s="61"/>
      <c r="U71" s="62"/>
    </row>
    <row r="72" spans="1:21" ht="36.75" customHeight="1" x14ac:dyDescent="0.2">
      <c r="B72" s="61"/>
      <c r="C72" s="321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3"/>
      <c r="U72" s="62"/>
    </row>
    <row r="73" spans="1:21" ht="11.25" customHeight="1" thickBot="1" x14ac:dyDescent="0.25"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129"/>
    </row>
    <row r="74" spans="1:21" ht="13.5" customHeight="1" thickBot="1" x14ac:dyDescent="0.25">
      <c r="B74" s="15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154"/>
    </row>
    <row r="75" spans="1:21" ht="11.25" customHeight="1" x14ac:dyDescent="0.25">
      <c r="B75" s="150"/>
      <c r="U75" s="62"/>
    </row>
    <row r="76" spans="1:21" s="49" customFormat="1" ht="18" customHeight="1" x14ac:dyDescent="0.25">
      <c r="A76"/>
      <c r="B76" s="155"/>
      <c r="C76" s="77" t="s">
        <v>1858</v>
      </c>
      <c r="D76" s="77"/>
      <c r="E76"/>
      <c r="F76"/>
      <c r="G76"/>
      <c r="H76"/>
      <c r="I76"/>
      <c r="J76"/>
      <c r="K76"/>
      <c r="L76"/>
      <c r="M76"/>
      <c r="N76"/>
      <c r="O76"/>
      <c r="P76" s="156"/>
      <c r="R76"/>
      <c r="S76"/>
      <c r="T76"/>
      <c r="U76" s="62"/>
    </row>
    <row r="77" spans="1:21" ht="14.25" customHeight="1" x14ac:dyDescent="0.2">
      <c r="B77" s="61"/>
      <c r="P77" s="49"/>
      <c r="Q77" s="49"/>
      <c r="U77" s="62"/>
    </row>
    <row r="78" spans="1:21" ht="6" customHeight="1" x14ac:dyDescent="0.2">
      <c r="B78" s="61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62"/>
    </row>
    <row r="79" spans="1:21" ht="35.1" customHeight="1" x14ac:dyDescent="0.2">
      <c r="B79" s="61"/>
      <c r="C79" s="324" t="s">
        <v>2536</v>
      </c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6"/>
      <c r="U79" s="62"/>
    </row>
    <row r="80" spans="1:21" ht="11.25" customHeight="1" thickBot="1" x14ac:dyDescent="0.25"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129"/>
    </row>
    <row r="81" spans="1:21" ht="22.5" customHeight="1" x14ac:dyDescent="0.2"/>
    <row r="82" spans="1:21" x14ac:dyDescent="0.2">
      <c r="B82" s="106" t="s">
        <v>1859</v>
      </c>
      <c r="D82" s="320" t="s">
        <v>2537</v>
      </c>
      <c r="E82" s="320"/>
      <c r="F82" s="320"/>
      <c r="G82" s="320"/>
      <c r="H82" s="320"/>
      <c r="I82" s="320"/>
      <c r="J82" s="320"/>
      <c r="K82" s="320"/>
      <c r="L82" s="320"/>
      <c r="M82" s="320"/>
      <c r="P82" s="320"/>
      <c r="Q82" s="320"/>
      <c r="R82" s="320"/>
      <c r="S82" s="320"/>
      <c r="T82" s="320"/>
      <c r="U82" s="320"/>
    </row>
    <row r="83" spans="1:21" x14ac:dyDescent="0.2">
      <c r="A83" s="49"/>
      <c r="B83" s="49"/>
      <c r="C83" s="158"/>
      <c r="D83" s="49" t="s">
        <v>1860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 t="s">
        <v>1861</v>
      </c>
      <c r="Q83" s="49"/>
      <c r="R83" s="49"/>
      <c r="S83" s="49"/>
      <c r="T83" s="49"/>
      <c r="U83" s="49"/>
    </row>
    <row r="84" spans="1:21" ht="17.25" customHeight="1" x14ac:dyDescent="0.2"/>
    <row r="85" spans="1:21" x14ac:dyDescent="0.2">
      <c r="B85" s="106" t="s">
        <v>1862</v>
      </c>
      <c r="D85" s="320" t="s">
        <v>2538</v>
      </c>
      <c r="E85" s="320"/>
      <c r="F85" s="320"/>
      <c r="G85" s="320"/>
      <c r="H85" s="320"/>
      <c r="I85" s="320"/>
      <c r="J85" s="320"/>
      <c r="K85" s="320"/>
      <c r="L85" s="320"/>
      <c r="M85" s="320"/>
      <c r="P85" s="320"/>
      <c r="Q85" s="320"/>
      <c r="R85" s="320"/>
      <c r="S85" s="320"/>
      <c r="T85" s="320"/>
      <c r="U85" s="320"/>
    </row>
    <row r="86" spans="1:21" x14ac:dyDescent="0.2">
      <c r="C86" s="158"/>
      <c r="D86" s="49" t="s">
        <v>1860</v>
      </c>
      <c r="P86" s="159" t="s">
        <v>1861</v>
      </c>
    </row>
  </sheetData>
  <sheetProtection password="D19C" sheet="1" formatCells="0" formatColumns="0" formatRows="0" selectLockedCells="1"/>
  <mergeCells count="27">
    <mergeCell ref="B2:U2"/>
    <mergeCell ref="Q4:U4"/>
    <mergeCell ref="E6:F6"/>
    <mergeCell ref="Q6:T6"/>
    <mergeCell ref="E8:J8"/>
    <mergeCell ref="P8:T8"/>
    <mergeCell ref="C56:T56"/>
    <mergeCell ref="C11:T11"/>
    <mergeCell ref="C12:J12"/>
    <mergeCell ref="C19:T19"/>
    <mergeCell ref="C24:T24"/>
    <mergeCell ref="C29:T29"/>
    <mergeCell ref="F35:G35"/>
    <mergeCell ref="C37:T37"/>
    <mergeCell ref="F41:H41"/>
    <mergeCell ref="C45:T45"/>
    <mergeCell ref="C48:T48"/>
    <mergeCell ref="C52:T52"/>
    <mergeCell ref="D85:M85"/>
    <mergeCell ref="P85:U85"/>
    <mergeCell ref="C60:T60"/>
    <mergeCell ref="C64:T64"/>
    <mergeCell ref="C68:T68"/>
    <mergeCell ref="C72:T72"/>
    <mergeCell ref="C79:T79"/>
    <mergeCell ref="D82:M82"/>
    <mergeCell ref="P82:U8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008D-F0C4-45D1-95A8-6D07E3607BAB}">
  <sheetPr>
    <tabColor indexed="10"/>
  </sheetPr>
  <dimension ref="A1:AC174"/>
  <sheetViews>
    <sheetView showGridLines="0" view="pageBreakPreview" zoomScaleNormal="100" zoomScaleSheetLayoutView="100" workbookViewId="0">
      <pane ySplit="2" topLeftCell="A3" activePane="bottomLeft" state="frozen"/>
      <selection activeCell="D85" sqref="D85:M85"/>
      <selection pane="bottomLeft" activeCell="D85" sqref="D85:M85"/>
    </sheetView>
  </sheetViews>
  <sheetFormatPr baseColWidth="10" defaultRowHeight="12.75" x14ac:dyDescent="0.2"/>
  <cols>
    <col min="1" max="1" width="4.42578125" customWidth="1"/>
    <col min="2" max="2" width="20.7109375" customWidth="1"/>
    <col min="3" max="3" width="8.7109375" customWidth="1"/>
    <col min="4" max="4" width="7.7109375" customWidth="1"/>
    <col min="5" max="5" width="5.7109375" customWidth="1"/>
    <col min="6" max="6" width="7.7109375" customWidth="1"/>
    <col min="7" max="7" width="5.7109375" customWidth="1"/>
    <col min="8" max="8" width="7.7109375" customWidth="1"/>
    <col min="9" max="9" width="5.7109375" customWidth="1"/>
    <col min="10" max="10" width="7.7109375" customWidth="1"/>
    <col min="11" max="11" width="5.7109375" customWidth="1"/>
    <col min="12" max="12" width="7.7109375" customWidth="1"/>
    <col min="13" max="13" width="5.7109375" customWidth="1"/>
    <col min="14" max="14" width="8.42578125" customWidth="1"/>
    <col min="15" max="15" width="6.7109375" customWidth="1"/>
    <col min="17" max="17" width="7.7109375" hidden="1" customWidth="1"/>
    <col min="18" max="18" width="2.7109375" hidden="1" customWidth="1"/>
    <col min="19" max="19" width="7.7109375" hidden="1" customWidth="1"/>
    <col min="20" max="20" width="2.7109375" hidden="1" customWidth="1"/>
    <col min="21" max="26" width="0" hidden="1" customWidth="1"/>
  </cols>
  <sheetData>
    <row r="1" spans="1:29" ht="21" customHeight="1" x14ac:dyDescent="0.35">
      <c r="B1" s="7" t="s">
        <v>1801</v>
      </c>
      <c r="C1" s="30" t="s">
        <v>1785</v>
      </c>
      <c r="D1" s="77" t="str">
        <f>Schlüssel!$C$1</f>
        <v>Bezirksliga N1 Männer</v>
      </c>
      <c r="F1" s="25"/>
      <c r="G1" s="25"/>
      <c r="H1" s="25"/>
      <c r="I1" s="25"/>
      <c r="K1" s="29"/>
      <c r="L1" s="358" t="str">
        <f>Schlüssel!$M$1</f>
        <v>13.10.</v>
      </c>
      <c r="M1" s="358"/>
      <c r="N1" s="358"/>
      <c r="AC1" s="90" t="s">
        <v>1813</v>
      </c>
    </row>
    <row r="2" spans="1:29" ht="17.25" customHeight="1" thickBot="1" x14ac:dyDescent="0.3">
      <c r="A2" s="49"/>
      <c r="B2" s="50">
        <v>1</v>
      </c>
      <c r="C2" s="30" t="s">
        <v>1786</v>
      </c>
      <c r="D2" s="84" t="str">
        <f>Schlüssel!$C$2</f>
        <v>Nürnberg West Bowling</v>
      </c>
      <c r="F2" s="77"/>
      <c r="G2" s="77"/>
      <c r="H2" s="77"/>
      <c r="I2" s="77"/>
      <c r="K2" s="77"/>
      <c r="L2" s="29" t="s">
        <v>1784</v>
      </c>
      <c r="M2" s="34">
        <v>1</v>
      </c>
      <c r="N2" s="28"/>
      <c r="AC2" s="91">
        <v>1</v>
      </c>
    </row>
    <row r="3" spans="1:29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27"/>
    </row>
    <row r="4" spans="1:29" ht="13.5" thickBot="1" x14ac:dyDescent="0.25">
      <c r="A4" s="6"/>
      <c r="B4" s="7"/>
      <c r="C4" s="39"/>
      <c r="D4" s="43" t="s">
        <v>10</v>
      </c>
      <c r="E4" s="7">
        <f>VLOOKUP(B2,Schlüssel!$A$5:$DZ$10,13)</f>
        <v>1</v>
      </c>
      <c r="F4" s="47" t="s">
        <v>10</v>
      </c>
      <c r="G4" s="7">
        <f>VLOOKUP(B2,Schlüssel!$A$5:$DZ$10,14)</f>
        <v>3</v>
      </c>
      <c r="H4" s="47" t="s">
        <v>10</v>
      </c>
      <c r="I4" s="7">
        <f>VLOOKUP(B2,Schlüssel!$A$5:$DZ$10,15)</f>
        <v>2</v>
      </c>
      <c r="J4" s="47" t="s">
        <v>10</v>
      </c>
      <c r="K4" s="7">
        <f>VLOOKUP(B2,Schlüssel!$A$5:$DZ$10,16)</f>
        <v>4</v>
      </c>
      <c r="L4" s="47" t="s">
        <v>10</v>
      </c>
      <c r="M4" s="67">
        <f>VLOOKUP(B2,Schlüssel!$A$5:$DZ$10,17)</f>
        <v>1</v>
      </c>
    </row>
    <row r="5" spans="1:29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</row>
    <row r="6" spans="1:29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</row>
    <row r="7" spans="1:29" ht="17.100000000000001" customHeight="1" x14ac:dyDescent="0.2">
      <c r="A7" s="355" t="s">
        <v>0</v>
      </c>
      <c r="B7" s="17"/>
      <c r="C7" s="18"/>
      <c r="D7" s="14"/>
      <c r="E7" s="352"/>
      <c r="F7" s="14"/>
      <c r="G7" s="352"/>
      <c r="H7" s="14"/>
      <c r="I7" s="352"/>
      <c r="J7" s="14"/>
      <c r="K7" s="352"/>
      <c r="L7" s="14"/>
      <c r="M7" s="352"/>
      <c r="N7" s="14"/>
      <c r="O7" s="352"/>
    </row>
    <row r="8" spans="1:29" ht="17.100000000000001" customHeight="1" x14ac:dyDescent="0.2">
      <c r="A8" s="356"/>
      <c r="B8" s="19"/>
      <c r="C8" s="20"/>
      <c r="D8" s="15"/>
      <c r="E8" s="353"/>
      <c r="F8" s="15"/>
      <c r="G8" s="353"/>
      <c r="H8" s="15"/>
      <c r="I8" s="353"/>
      <c r="J8" s="15"/>
      <c r="K8" s="353"/>
      <c r="L8" s="15"/>
      <c r="M8" s="353"/>
      <c r="N8" s="15"/>
      <c r="O8" s="353"/>
    </row>
    <row r="9" spans="1:29" ht="17.100000000000001" customHeight="1" thickBot="1" x14ac:dyDescent="0.25">
      <c r="A9" s="357"/>
      <c r="B9" s="21"/>
      <c r="C9" s="22"/>
      <c r="D9" s="9"/>
      <c r="E9" s="354"/>
      <c r="F9" s="9"/>
      <c r="G9" s="354"/>
      <c r="H9" s="9"/>
      <c r="I9" s="354"/>
      <c r="J9" s="9"/>
      <c r="K9" s="354"/>
      <c r="L9" s="9"/>
      <c r="M9" s="354"/>
      <c r="N9" s="9"/>
      <c r="O9" s="354"/>
    </row>
    <row r="10" spans="1:29" ht="17.100000000000001" customHeight="1" x14ac:dyDescent="0.2">
      <c r="A10" s="355" t="s">
        <v>2</v>
      </c>
      <c r="B10" s="17"/>
      <c r="C10" s="18"/>
      <c r="D10" s="14"/>
      <c r="E10" s="352"/>
      <c r="F10" s="14"/>
      <c r="G10" s="352"/>
      <c r="H10" s="14"/>
      <c r="I10" s="352"/>
      <c r="J10" s="14"/>
      <c r="K10" s="352"/>
      <c r="L10" s="14"/>
      <c r="M10" s="352"/>
      <c r="N10" s="14"/>
      <c r="O10" s="352"/>
    </row>
    <row r="11" spans="1:29" ht="17.100000000000001" customHeight="1" x14ac:dyDescent="0.2">
      <c r="A11" s="356"/>
      <c r="B11" s="19"/>
      <c r="C11" s="20"/>
      <c r="D11" s="15"/>
      <c r="E11" s="353"/>
      <c r="F11" s="15"/>
      <c r="G11" s="353"/>
      <c r="H11" s="15"/>
      <c r="I11" s="353"/>
      <c r="J11" s="15"/>
      <c r="K11" s="353"/>
      <c r="L11" s="15"/>
      <c r="M11" s="353"/>
      <c r="N11" s="15"/>
      <c r="O11" s="353"/>
    </row>
    <row r="12" spans="1:29" ht="17.100000000000001" customHeight="1" thickBot="1" x14ac:dyDescent="0.25">
      <c r="A12" s="357"/>
      <c r="B12" s="21"/>
      <c r="C12" s="22"/>
      <c r="D12" s="9"/>
      <c r="E12" s="354"/>
      <c r="F12" s="9"/>
      <c r="G12" s="354"/>
      <c r="H12" s="9"/>
      <c r="I12" s="354"/>
      <c r="J12" s="9"/>
      <c r="K12" s="354"/>
      <c r="L12" s="9"/>
      <c r="M12" s="354"/>
      <c r="N12" s="9"/>
      <c r="O12" s="354"/>
    </row>
    <row r="13" spans="1:29" ht="17.100000000000001" customHeight="1" x14ac:dyDescent="0.2">
      <c r="A13" s="355" t="s">
        <v>3</v>
      </c>
      <c r="B13" s="17"/>
      <c r="C13" s="18"/>
      <c r="D13" s="14"/>
      <c r="E13" s="352"/>
      <c r="F13" s="14"/>
      <c r="G13" s="352"/>
      <c r="H13" s="14"/>
      <c r="I13" s="352"/>
      <c r="J13" s="14"/>
      <c r="K13" s="352"/>
      <c r="L13" s="14"/>
      <c r="M13" s="352"/>
      <c r="N13" s="14"/>
      <c r="O13" s="352"/>
    </row>
    <row r="14" spans="1:29" ht="17.100000000000001" customHeight="1" x14ac:dyDescent="0.2">
      <c r="A14" s="356"/>
      <c r="B14" s="19"/>
      <c r="C14" s="20"/>
      <c r="D14" s="15"/>
      <c r="E14" s="353"/>
      <c r="F14" s="15"/>
      <c r="G14" s="353"/>
      <c r="H14" s="15"/>
      <c r="I14" s="353"/>
      <c r="J14" s="15"/>
      <c r="K14" s="353"/>
      <c r="L14" s="15"/>
      <c r="M14" s="353"/>
      <c r="N14" s="15"/>
      <c r="O14" s="353"/>
    </row>
    <row r="15" spans="1:29" ht="17.100000000000001" customHeight="1" thickBot="1" x14ac:dyDescent="0.25">
      <c r="A15" s="357"/>
      <c r="B15" s="21"/>
      <c r="C15" s="22"/>
      <c r="D15" s="9"/>
      <c r="E15" s="354"/>
      <c r="F15" s="9"/>
      <c r="G15" s="354"/>
      <c r="H15" s="9"/>
      <c r="I15" s="354"/>
      <c r="J15" s="9"/>
      <c r="K15" s="354"/>
      <c r="L15" s="9"/>
      <c r="M15" s="354"/>
      <c r="N15" s="9"/>
      <c r="O15" s="354"/>
    </row>
    <row r="16" spans="1:29" ht="17.100000000000001" customHeight="1" x14ac:dyDescent="0.2">
      <c r="A16" s="355" t="s">
        <v>11</v>
      </c>
      <c r="B16" s="17"/>
      <c r="C16" s="18"/>
      <c r="D16" s="14"/>
      <c r="E16" s="352"/>
      <c r="F16" s="14"/>
      <c r="G16" s="352"/>
      <c r="H16" s="14"/>
      <c r="I16" s="352"/>
      <c r="J16" s="14"/>
      <c r="K16" s="352"/>
      <c r="L16" s="14"/>
      <c r="M16" s="352"/>
      <c r="N16" s="14"/>
      <c r="O16" s="352"/>
    </row>
    <row r="17" spans="1:29" ht="17.100000000000001" customHeight="1" x14ac:dyDescent="0.2">
      <c r="A17" s="356"/>
      <c r="B17" s="19"/>
      <c r="C17" s="20"/>
      <c r="D17" s="15"/>
      <c r="E17" s="353"/>
      <c r="F17" s="15"/>
      <c r="G17" s="353"/>
      <c r="H17" s="15"/>
      <c r="I17" s="353"/>
      <c r="J17" s="15"/>
      <c r="K17" s="353"/>
      <c r="L17" s="15"/>
      <c r="M17" s="353"/>
      <c r="N17" s="15"/>
      <c r="O17" s="353"/>
    </row>
    <row r="18" spans="1:29" ht="17.100000000000001" customHeight="1" thickBot="1" x14ac:dyDescent="0.25">
      <c r="A18" s="357"/>
      <c r="B18" s="21"/>
      <c r="C18" s="22"/>
      <c r="D18" s="9"/>
      <c r="E18" s="354"/>
      <c r="F18" s="9"/>
      <c r="G18" s="354"/>
      <c r="H18" s="9"/>
      <c r="I18" s="354"/>
      <c r="J18" s="9"/>
      <c r="K18" s="354"/>
      <c r="L18" s="9"/>
      <c r="M18" s="354"/>
      <c r="N18" s="9"/>
      <c r="O18" s="354"/>
    </row>
    <row r="19" spans="1:29" ht="27.75" customHeight="1" thickBot="1" x14ac:dyDescent="0.25">
      <c r="B19" s="11"/>
      <c r="C19" s="26"/>
      <c r="D19" s="16"/>
      <c r="E19" s="12"/>
      <c r="F19" s="16"/>
      <c r="G19" s="12"/>
      <c r="H19" s="16"/>
      <c r="I19" s="12"/>
      <c r="J19" s="16"/>
      <c r="K19" s="12"/>
      <c r="L19" s="16"/>
      <c r="M19" s="12"/>
      <c r="N19" s="16"/>
      <c r="O19" s="12"/>
    </row>
    <row r="20" spans="1:29" ht="24" customHeight="1" thickBot="1" x14ac:dyDescent="0.25">
      <c r="B20" s="8"/>
      <c r="C20" s="1"/>
      <c r="D20" s="1"/>
      <c r="E20" s="23"/>
      <c r="F20" s="1"/>
      <c r="G20" s="23"/>
      <c r="H20" s="1"/>
      <c r="I20" s="23"/>
      <c r="J20" s="1"/>
      <c r="K20" s="23"/>
      <c r="L20" s="1"/>
      <c r="M20" s="23"/>
      <c r="N20" s="1"/>
      <c r="O20" s="23"/>
    </row>
    <row r="21" spans="1:29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</row>
    <row r="22" spans="1:29" ht="12.75" customHeight="1" x14ac:dyDescent="0.2">
      <c r="B22" s="13" t="s">
        <v>1789</v>
      </c>
      <c r="C22" s="5" t="s">
        <v>1790</v>
      </c>
      <c r="D22" s="350">
        <f>VLOOKUP(B2,Schlüssel!$A$5:$K$10,3)</f>
        <v>2</v>
      </c>
      <c r="E22" s="350"/>
      <c r="F22" s="350">
        <f>VLOOKUP(B2,Schlüssel!$A$5:$K$10,4)</f>
        <v>6</v>
      </c>
      <c r="G22" s="350"/>
      <c r="H22" s="350">
        <f>VLOOKUP(B2,Schlüssel!$A$5:$K$10,5)</f>
        <v>3</v>
      </c>
      <c r="I22" s="350"/>
      <c r="J22" s="350">
        <f>VLOOKUP(B2,Schlüssel!$A$5:$K$10,6)</f>
        <v>4</v>
      </c>
      <c r="K22" s="350"/>
      <c r="L22" s="350">
        <f>VLOOKUP(B2,Schlüssel!$A$5:$K$10,7)</f>
        <v>5</v>
      </c>
      <c r="M22" s="350"/>
      <c r="N22" s="351"/>
      <c r="O22" s="351"/>
    </row>
    <row r="23" spans="1:29" ht="28.5" customHeight="1" x14ac:dyDescent="0.2">
      <c r="B23" s="4"/>
      <c r="C23" s="1"/>
      <c r="D23" s="347" t="str">
        <f>VLOOKUP(D22,Schlüssel!$A$5:$K$10,2)</f>
        <v>Herzogenaurach 1</v>
      </c>
      <c r="E23" s="348"/>
      <c r="F23" s="347" t="str">
        <f>VLOOKUP(F22,Schlüssel!$A$5:$K$10,2)</f>
        <v>Adler Nürnberg 1</v>
      </c>
      <c r="G23" s="348"/>
      <c r="H23" s="347" t="str">
        <f>VLOOKUP(H22,Schlüssel!$A$5:$K$10,2)</f>
        <v>Kings Club Bayreuth Land 2</v>
      </c>
      <c r="I23" s="348"/>
      <c r="J23" s="347" t="str">
        <f>VLOOKUP(J22,Schlüssel!$A$5:$K$10,2)</f>
        <v>Kings Club Bayreuth Land 3</v>
      </c>
      <c r="K23" s="348"/>
      <c r="L23" s="347" t="str">
        <f>VLOOKUP(L22,Schlüssel!$A$5:$K$10,2)</f>
        <v>Castra Regina Regensburg 2</v>
      </c>
      <c r="M23" s="348"/>
      <c r="N23" s="349"/>
      <c r="O23" s="349"/>
    </row>
    <row r="24" spans="1:29" ht="12" customHeight="1" x14ac:dyDescent="0.2">
      <c r="B24" s="4"/>
      <c r="C24" s="1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10"/>
      <c r="O24" s="310"/>
    </row>
    <row r="25" spans="1:29" ht="15.95" customHeight="1" x14ac:dyDescent="0.2">
      <c r="B25" s="35" t="s">
        <v>0</v>
      </c>
      <c r="C25" s="36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5"/>
      <c r="O25" s="345"/>
    </row>
    <row r="26" spans="1:29" ht="15.95" customHeight="1" x14ac:dyDescent="0.2">
      <c r="B26" s="35" t="s">
        <v>2</v>
      </c>
      <c r="C26" s="36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5"/>
      <c r="O26" s="345"/>
    </row>
    <row r="27" spans="1:29" ht="15.95" customHeight="1" x14ac:dyDescent="0.2">
      <c r="B27" s="35" t="s">
        <v>3</v>
      </c>
      <c r="C27" s="36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5"/>
      <c r="O27" s="345"/>
    </row>
    <row r="28" spans="1:29" ht="15.95" customHeight="1" x14ac:dyDescent="0.2">
      <c r="B28" s="35" t="s">
        <v>11</v>
      </c>
      <c r="C28" s="36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5"/>
      <c r="O28" s="345"/>
    </row>
    <row r="29" spans="1:29" ht="15.95" customHeight="1" x14ac:dyDescent="0.2">
      <c r="B29" s="37" t="s">
        <v>1791</v>
      </c>
      <c r="C29" s="3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298"/>
      <c r="O29" s="298"/>
    </row>
    <row r="30" spans="1:29" ht="21" customHeight="1" x14ac:dyDescent="0.35">
      <c r="B30" s="7" t="s">
        <v>1801</v>
      </c>
      <c r="C30" s="30" t="s">
        <v>1785</v>
      </c>
      <c r="D30" s="77" t="str">
        <f>Schlüssel!$C$1</f>
        <v>Bezirksliga N1 Männer</v>
      </c>
      <c r="F30" s="25"/>
      <c r="G30" s="25"/>
      <c r="H30" s="25"/>
      <c r="I30" s="25"/>
      <c r="K30" s="29"/>
      <c r="L30" s="358" t="str">
        <f>Schlüssel!$M$1</f>
        <v>13.10.</v>
      </c>
      <c r="M30" s="358"/>
      <c r="N30" s="358"/>
      <c r="AC30" s="90"/>
    </row>
    <row r="31" spans="1:29" ht="17.25" customHeight="1" thickBot="1" x14ac:dyDescent="0.3">
      <c r="A31" s="49"/>
      <c r="B31" s="50">
        <f>+B2+1</f>
        <v>2</v>
      </c>
      <c r="C31" s="30" t="s">
        <v>1786</v>
      </c>
      <c r="D31" s="84" t="str">
        <f>Schlüssel!$C$2</f>
        <v>Nürnberg West Bowling</v>
      </c>
      <c r="F31" s="77"/>
      <c r="G31" s="77"/>
      <c r="H31" s="77"/>
      <c r="I31" s="77"/>
      <c r="K31" s="77"/>
      <c r="L31" s="29" t="s">
        <v>1784</v>
      </c>
      <c r="M31" s="34">
        <v>1</v>
      </c>
      <c r="N31" s="28"/>
      <c r="AC31" s="91"/>
    </row>
    <row r="32" spans="1:29" ht="15.75" customHeight="1" thickBot="1" x14ac:dyDescent="0.25">
      <c r="B32" s="32" t="str">
        <f>VLOOKUP(B31,Schlüssel!$A$5:$B$10,2)</f>
        <v>Herzogenaurach 1</v>
      </c>
      <c r="C32" s="31"/>
      <c r="D32" s="42"/>
      <c r="E32" s="46"/>
      <c r="F32" s="48"/>
      <c r="G32" s="27"/>
      <c r="H32" s="27"/>
      <c r="I32" s="27"/>
      <c r="J32" s="27"/>
      <c r="K32" s="27"/>
      <c r="L32" s="27"/>
      <c r="M32" s="27"/>
    </row>
    <row r="33" spans="1:15" ht="13.5" thickBot="1" x14ac:dyDescent="0.25">
      <c r="A33" s="6"/>
      <c r="B33" s="7"/>
      <c r="C33" s="39"/>
      <c r="D33" s="43" t="s">
        <v>10</v>
      </c>
      <c r="E33" s="7">
        <f>VLOOKUP(B31,Schlüssel!$A$5:$DZ$10,13)</f>
        <v>2</v>
      </c>
      <c r="F33" s="47" t="s">
        <v>10</v>
      </c>
      <c r="G33" s="7">
        <f>VLOOKUP(B31,Schlüssel!$A$5:$DZ$10,14)</f>
        <v>5</v>
      </c>
      <c r="H33" s="47" t="s">
        <v>10</v>
      </c>
      <c r="I33" s="7">
        <f>VLOOKUP(B31,Schlüssel!$A$5:$DZ$10,15)</f>
        <v>3</v>
      </c>
      <c r="J33" s="47" t="s">
        <v>10</v>
      </c>
      <c r="K33" s="7">
        <f>VLOOKUP(B31,Schlüssel!$A$5:$DZ$10,16)</f>
        <v>1</v>
      </c>
      <c r="L33" s="47" t="s">
        <v>10</v>
      </c>
      <c r="M33" s="67">
        <f>VLOOKUP(B31,Schlüssel!$A$5:$DZ$10,17)</f>
        <v>6</v>
      </c>
    </row>
    <row r="34" spans="1:15" ht="20.25" customHeight="1" x14ac:dyDescent="0.2">
      <c r="B34" s="40" t="s">
        <v>1</v>
      </c>
      <c r="C34" s="41"/>
      <c r="D34" s="359" t="s">
        <v>1792</v>
      </c>
      <c r="E34" s="360"/>
      <c r="F34" s="359" t="s">
        <v>1793</v>
      </c>
      <c r="G34" s="360"/>
      <c r="H34" s="359" t="s">
        <v>1794</v>
      </c>
      <c r="I34" s="360"/>
      <c r="J34" s="359" t="s">
        <v>1795</v>
      </c>
      <c r="K34" s="360"/>
      <c r="L34" s="359" t="s">
        <v>1796</v>
      </c>
      <c r="M34" s="360"/>
      <c r="N34" s="361" t="s">
        <v>1791</v>
      </c>
      <c r="O34" s="362"/>
    </row>
    <row r="35" spans="1:15" ht="15" customHeight="1" thickBot="1" x14ac:dyDescent="0.25">
      <c r="B35" s="9" t="s">
        <v>1797</v>
      </c>
      <c r="C35" s="44" t="s">
        <v>1798</v>
      </c>
      <c r="D35" s="45" t="s">
        <v>1799</v>
      </c>
      <c r="E35" s="45" t="s">
        <v>1800</v>
      </c>
      <c r="F35" s="45" t="s">
        <v>1799</v>
      </c>
      <c r="G35" s="45" t="s">
        <v>1800</v>
      </c>
      <c r="H35" s="45" t="s">
        <v>1799</v>
      </c>
      <c r="I35" s="45" t="s">
        <v>1800</v>
      </c>
      <c r="J35" s="45" t="s">
        <v>1799</v>
      </c>
      <c r="K35" s="45" t="s">
        <v>1800</v>
      </c>
      <c r="L35" s="45" t="s">
        <v>1799</v>
      </c>
      <c r="M35" s="45" t="s">
        <v>1800</v>
      </c>
      <c r="N35" s="45" t="s">
        <v>1799</v>
      </c>
      <c r="O35" s="10" t="s">
        <v>1800</v>
      </c>
    </row>
    <row r="36" spans="1:15" ht="17.100000000000001" customHeight="1" x14ac:dyDescent="0.2">
      <c r="A36" s="355" t="s">
        <v>0</v>
      </c>
      <c r="B36" s="17"/>
      <c r="C36" s="18"/>
      <c r="D36" s="14"/>
      <c r="E36" s="352"/>
      <c r="F36" s="14"/>
      <c r="G36" s="352"/>
      <c r="H36" s="14"/>
      <c r="I36" s="352"/>
      <c r="J36" s="14"/>
      <c r="K36" s="352"/>
      <c r="L36" s="14"/>
      <c r="M36" s="352"/>
      <c r="N36" s="14"/>
      <c r="O36" s="352"/>
    </row>
    <row r="37" spans="1:15" ht="17.100000000000001" customHeight="1" x14ac:dyDescent="0.2">
      <c r="A37" s="356"/>
      <c r="B37" s="19"/>
      <c r="C37" s="20"/>
      <c r="D37" s="15"/>
      <c r="E37" s="353"/>
      <c r="F37" s="15"/>
      <c r="G37" s="353"/>
      <c r="H37" s="15"/>
      <c r="I37" s="353"/>
      <c r="J37" s="15"/>
      <c r="K37" s="353"/>
      <c r="L37" s="15"/>
      <c r="M37" s="353"/>
      <c r="N37" s="15"/>
      <c r="O37" s="353"/>
    </row>
    <row r="38" spans="1:15" ht="17.100000000000001" customHeight="1" thickBot="1" x14ac:dyDescent="0.25">
      <c r="A38" s="357"/>
      <c r="B38" s="21"/>
      <c r="C38" s="22"/>
      <c r="D38" s="9"/>
      <c r="E38" s="354"/>
      <c r="F38" s="9"/>
      <c r="G38" s="354"/>
      <c r="H38" s="9"/>
      <c r="I38" s="354"/>
      <c r="J38" s="9"/>
      <c r="K38" s="354"/>
      <c r="L38" s="9"/>
      <c r="M38" s="354"/>
      <c r="N38" s="9"/>
      <c r="O38" s="354"/>
    </row>
    <row r="39" spans="1:15" ht="17.100000000000001" customHeight="1" x14ac:dyDescent="0.2">
      <c r="A39" s="355" t="s">
        <v>2</v>
      </c>
      <c r="B39" s="17"/>
      <c r="C39" s="18"/>
      <c r="D39" s="14"/>
      <c r="E39" s="352"/>
      <c r="F39" s="14"/>
      <c r="G39" s="352"/>
      <c r="H39" s="14"/>
      <c r="I39" s="352"/>
      <c r="J39" s="14"/>
      <c r="K39" s="352"/>
      <c r="L39" s="14"/>
      <c r="M39" s="352"/>
      <c r="N39" s="14"/>
      <c r="O39" s="352"/>
    </row>
    <row r="40" spans="1:15" ht="17.100000000000001" customHeight="1" x14ac:dyDescent="0.2">
      <c r="A40" s="356"/>
      <c r="B40" s="19"/>
      <c r="C40" s="20"/>
      <c r="D40" s="15"/>
      <c r="E40" s="353"/>
      <c r="F40" s="15"/>
      <c r="G40" s="353"/>
      <c r="H40" s="15"/>
      <c r="I40" s="353"/>
      <c r="J40" s="15"/>
      <c r="K40" s="353"/>
      <c r="L40" s="15"/>
      <c r="M40" s="353"/>
      <c r="N40" s="15"/>
      <c r="O40" s="353"/>
    </row>
    <row r="41" spans="1:15" ht="17.100000000000001" customHeight="1" thickBot="1" x14ac:dyDescent="0.25">
      <c r="A41" s="357"/>
      <c r="B41" s="21"/>
      <c r="C41" s="22"/>
      <c r="D41" s="9"/>
      <c r="E41" s="354"/>
      <c r="F41" s="9"/>
      <c r="G41" s="354"/>
      <c r="H41" s="9"/>
      <c r="I41" s="354"/>
      <c r="J41" s="9"/>
      <c r="K41" s="354"/>
      <c r="L41" s="9"/>
      <c r="M41" s="354"/>
      <c r="N41" s="9"/>
      <c r="O41" s="354"/>
    </row>
    <row r="42" spans="1:15" ht="17.100000000000001" customHeight="1" x14ac:dyDescent="0.2">
      <c r="A42" s="355" t="s">
        <v>3</v>
      </c>
      <c r="B42" s="17"/>
      <c r="C42" s="18"/>
      <c r="D42" s="14"/>
      <c r="E42" s="352"/>
      <c r="F42" s="14"/>
      <c r="G42" s="352"/>
      <c r="H42" s="14"/>
      <c r="I42" s="352"/>
      <c r="J42" s="14"/>
      <c r="K42" s="352"/>
      <c r="L42" s="14"/>
      <c r="M42" s="352"/>
      <c r="N42" s="14"/>
      <c r="O42" s="352"/>
    </row>
    <row r="43" spans="1:15" ht="17.100000000000001" customHeight="1" x14ac:dyDescent="0.2">
      <c r="A43" s="356"/>
      <c r="B43" s="19"/>
      <c r="C43" s="20"/>
      <c r="D43" s="15"/>
      <c r="E43" s="353"/>
      <c r="F43" s="15"/>
      <c r="G43" s="353"/>
      <c r="H43" s="15"/>
      <c r="I43" s="353"/>
      <c r="J43" s="15"/>
      <c r="K43" s="353"/>
      <c r="L43" s="15"/>
      <c r="M43" s="353"/>
      <c r="N43" s="15"/>
      <c r="O43" s="353"/>
    </row>
    <row r="44" spans="1:15" ht="17.100000000000001" customHeight="1" thickBot="1" x14ac:dyDescent="0.25">
      <c r="A44" s="357"/>
      <c r="B44" s="21"/>
      <c r="C44" s="22"/>
      <c r="D44" s="9"/>
      <c r="E44" s="354"/>
      <c r="F44" s="9"/>
      <c r="G44" s="354"/>
      <c r="H44" s="9"/>
      <c r="I44" s="354"/>
      <c r="J44" s="9"/>
      <c r="K44" s="354"/>
      <c r="L44" s="9"/>
      <c r="M44" s="354"/>
      <c r="N44" s="9"/>
      <c r="O44" s="354"/>
    </row>
    <row r="45" spans="1:15" ht="17.100000000000001" customHeight="1" x14ac:dyDescent="0.2">
      <c r="A45" s="355" t="s">
        <v>11</v>
      </c>
      <c r="B45" s="17"/>
      <c r="C45" s="18"/>
      <c r="D45" s="14"/>
      <c r="E45" s="352"/>
      <c r="F45" s="14"/>
      <c r="G45" s="352"/>
      <c r="H45" s="14"/>
      <c r="I45" s="352"/>
      <c r="J45" s="14"/>
      <c r="K45" s="352"/>
      <c r="L45" s="14"/>
      <c r="M45" s="352"/>
      <c r="N45" s="14"/>
      <c r="O45" s="352"/>
    </row>
    <row r="46" spans="1:15" ht="17.100000000000001" customHeight="1" x14ac:dyDescent="0.2">
      <c r="A46" s="356"/>
      <c r="B46" s="19"/>
      <c r="C46" s="20"/>
      <c r="D46" s="15"/>
      <c r="E46" s="353"/>
      <c r="F46" s="15"/>
      <c r="G46" s="353"/>
      <c r="H46" s="15"/>
      <c r="I46" s="353"/>
      <c r="J46" s="15"/>
      <c r="K46" s="353"/>
      <c r="L46" s="15"/>
      <c r="M46" s="353"/>
      <c r="N46" s="15"/>
      <c r="O46" s="353"/>
    </row>
    <row r="47" spans="1:15" ht="17.100000000000001" customHeight="1" thickBot="1" x14ac:dyDescent="0.25">
      <c r="A47" s="357"/>
      <c r="B47" s="21"/>
      <c r="C47" s="22"/>
      <c r="D47" s="9"/>
      <c r="E47" s="354"/>
      <c r="F47" s="9"/>
      <c r="G47" s="354"/>
      <c r="H47" s="9"/>
      <c r="I47" s="354"/>
      <c r="J47" s="9"/>
      <c r="K47" s="354"/>
      <c r="L47" s="9"/>
      <c r="M47" s="354"/>
      <c r="N47" s="9"/>
      <c r="O47" s="354"/>
    </row>
    <row r="48" spans="1:15" ht="27.75" customHeight="1" thickBot="1" x14ac:dyDescent="0.25">
      <c r="B48" s="11"/>
      <c r="C48" s="26"/>
      <c r="D48" s="16"/>
      <c r="E48" s="12"/>
      <c r="F48" s="16"/>
      <c r="G48" s="12"/>
      <c r="H48" s="16"/>
      <c r="I48" s="12"/>
      <c r="J48" s="16"/>
      <c r="K48" s="12"/>
      <c r="L48" s="16"/>
      <c r="M48" s="12"/>
      <c r="N48" s="16"/>
      <c r="O48" s="12"/>
    </row>
    <row r="49" spans="1:29" ht="24" customHeight="1" thickBot="1" x14ac:dyDescent="0.25">
      <c r="B49" s="8"/>
      <c r="C49" s="1"/>
      <c r="D49" s="1"/>
      <c r="E49" s="23"/>
      <c r="F49" s="1"/>
      <c r="G49" s="23"/>
      <c r="H49" s="1"/>
      <c r="I49" s="23"/>
      <c r="J49" s="1"/>
      <c r="K49" s="23"/>
      <c r="L49" s="1"/>
      <c r="M49" s="23"/>
      <c r="N49" s="1"/>
      <c r="O49" s="23"/>
    </row>
    <row r="50" spans="1:29" ht="11.25" customHeight="1" x14ac:dyDescent="0.2">
      <c r="B50" s="1"/>
      <c r="C50" s="1"/>
      <c r="D50" s="1"/>
      <c r="E50" s="2"/>
      <c r="F50" s="1"/>
      <c r="G50" s="2"/>
      <c r="H50" s="1"/>
      <c r="I50" s="2"/>
      <c r="J50" s="1"/>
      <c r="K50" s="2"/>
      <c r="L50" s="1"/>
      <c r="M50" s="2"/>
      <c r="N50" s="1"/>
      <c r="O50" s="2"/>
    </row>
    <row r="51" spans="1:29" ht="12.75" customHeight="1" x14ac:dyDescent="0.2">
      <c r="B51" s="13" t="s">
        <v>1789</v>
      </c>
      <c r="C51" s="5" t="s">
        <v>1790</v>
      </c>
      <c r="D51" s="350">
        <f>VLOOKUP(B31,Schlüssel!$A$5:$K$10,3)</f>
        <v>1</v>
      </c>
      <c r="E51" s="350"/>
      <c r="F51" s="350">
        <f>VLOOKUP(B31,Schlüssel!$A$5:$K$10,4)</f>
        <v>3</v>
      </c>
      <c r="G51" s="350"/>
      <c r="H51" s="350">
        <f>VLOOKUP(B31,Schlüssel!$A$5:$K$10,5)</f>
        <v>5</v>
      </c>
      <c r="I51" s="350"/>
      <c r="J51" s="350">
        <f>VLOOKUP(B31,Schlüssel!$A$5:$K$10,6)</f>
        <v>6</v>
      </c>
      <c r="K51" s="350"/>
      <c r="L51" s="350">
        <f>VLOOKUP(B31,Schlüssel!$A$5:$K$10,7)</f>
        <v>4</v>
      </c>
      <c r="M51" s="350"/>
      <c r="N51" s="351"/>
      <c r="O51" s="351"/>
    </row>
    <row r="52" spans="1:29" ht="28.5" customHeight="1" x14ac:dyDescent="0.2">
      <c r="B52" s="4"/>
      <c r="C52" s="1"/>
      <c r="D52" s="347" t="str">
        <f>VLOOKUP(D51,Schlüssel!$A$5:$K$10,2)</f>
        <v>Castra Regina Regensburg 3</v>
      </c>
      <c r="E52" s="348"/>
      <c r="F52" s="347" t="str">
        <f>VLOOKUP(F51,Schlüssel!$A$5:$K$10,2)</f>
        <v>Kings Club Bayreuth Land 2</v>
      </c>
      <c r="G52" s="348"/>
      <c r="H52" s="347" t="str">
        <f>VLOOKUP(H51,Schlüssel!$A$5:$K$10,2)</f>
        <v>Castra Regina Regensburg 2</v>
      </c>
      <c r="I52" s="348"/>
      <c r="J52" s="347" t="str">
        <f>VLOOKUP(J51,Schlüssel!$A$5:$K$10,2)</f>
        <v>Adler Nürnberg 1</v>
      </c>
      <c r="K52" s="348"/>
      <c r="L52" s="347" t="str">
        <f>VLOOKUP(L51,Schlüssel!$A$5:$K$10,2)</f>
        <v>Kings Club Bayreuth Land 3</v>
      </c>
      <c r="M52" s="348"/>
      <c r="N52" s="349"/>
      <c r="O52" s="349"/>
    </row>
    <row r="53" spans="1:29" ht="12" customHeight="1" x14ac:dyDescent="0.2">
      <c r="B53" s="4"/>
      <c r="C53" s="1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10"/>
      <c r="O53" s="310"/>
    </row>
    <row r="54" spans="1:29" ht="15.95" customHeight="1" x14ac:dyDescent="0.2">
      <c r="B54" s="35" t="s">
        <v>0</v>
      </c>
      <c r="C54" s="36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5"/>
      <c r="O54" s="345"/>
    </row>
    <row r="55" spans="1:29" ht="15.95" customHeight="1" x14ac:dyDescent="0.2">
      <c r="B55" s="35" t="s">
        <v>2</v>
      </c>
      <c r="C55" s="36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5"/>
      <c r="O55" s="345"/>
    </row>
    <row r="56" spans="1:29" ht="15.95" customHeight="1" x14ac:dyDescent="0.2">
      <c r="B56" s="35" t="s">
        <v>3</v>
      </c>
      <c r="C56" s="36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5"/>
      <c r="O56" s="345"/>
    </row>
    <row r="57" spans="1:29" ht="15.95" customHeight="1" x14ac:dyDescent="0.2">
      <c r="B57" s="35" t="s">
        <v>11</v>
      </c>
      <c r="C57" s="36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5"/>
      <c r="O57" s="345"/>
    </row>
    <row r="58" spans="1:29" ht="15.95" customHeight="1" x14ac:dyDescent="0.2">
      <c r="B58" s="37" t="s">
        <v>1791</v>
      </c>
      <c r="C58" s="38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298"/>
      <c r="O58" s="298"/>
    </row>
    <row r="59" spans="1:29" ht="21" customHeight="1" x14ac:dyDescent="0.35">
      <c r="B59" s="7" t="s">
        <v>1801</v>
      </c>
      <c r="C59" s="30" t="s">
        <v>1785</v>
      </c>
      <c r="D59" s="77" t="str">
        <f>Schlüssel!$C$1</f>
        <v>Bezirksliga N1 Männer</v>
      </c>
      <c r="F59" s="25"/>
      <c r="G59" s="25"/>
      <c r="H59" s="25"/>
      <c r="I59" s="25"/>
      <c r="K59" s="29"/>
      <c r="L59" s="358" t="str">
        <f>Schlüssel!$M$1</f>
        <v>13.10.</v>
      </c>
      <c r="M59" s="358"/>
      <c r="N59" s="358"/>
      <c r="AC59" s="90"/>
    </row>
    <row r="60" spans="1:29" ht="17.25" customHeight="1" thickBot="1" x14ac:dyDescent="0.3">
      <c r="A60" s="49"/>
      <c r="B60" s="50">
        <f>+B31+1</f>
        <v>3</v>
      </c>
      <c r="C60" s="30" t="s">
        <v>1786</v>
      </c>
      <c r="D60" s="84" t="str">
        <f>Schlüssel!$C$2</f>
        <v>Nürnberg West Bowling</v>
      </c>
      <c r="F60" s="77"/>
      <c r="G60" s="77"/>
      <c r="H60" s="77"/>
      <c r="I60" s="77"/>
      <c r="K60" s="77"/>
      <c r="L60" s="29" t="s">
        <v>1784</v>
      </c>
      <c r="M60" s="34">
        <v>1</v>
      </c>
      <c r="N60" s="28"/>
      <c r="AC60" s="91"/>
    </row>
    <row r="61" spans="1:29" ht="15.75" customHeight="1" thickBot="1" x14ac:dyDescent="0.25">
      <c r="B61" s="32" t="str">
        <f>VLOOKUP(B60,Schlüssel!$A$5:$B$10,2)</f>
        <v>Kings Club Bayreuth Land 2</v>
      </c>
      <c r="C61" s="31"/>
      <c r="D61" s="42"/>
      <c r="E61" s="46"/>
      <c r="F61" s="48"/>
      <c r="G61" s="27"/>
      <c r="H61" s="27"/>
      <c r="I61" s="27"/>
      <c r="J61" s="27"/>
      <c r="K61" s="27"/>
      <c r="L61" s="27"/>
      <c r="M61" s="27"/>
    </row>
    <row r="62" spans="1:29" ht="13.5" thickBot="1" x14ac:dyDescent="0.25">
      <c r="A62" s="6"/>
      <c r="B62" s="7"/>
      <c r="C62" s="39"/>
      <c r="D62" s="43" t="s">
        <v>10</v>
      </c>
      <c r="E62" s="7">
        <f>VLOOKUP(B60,Schlüssel!$A$5:$DZ$10,13)</f>
        <v>3</v>
      </c>
      <c r="F62" s="47" t="s">
        <v>10</v>
      </c>
      <c r="G62" s="7">
        <f>VLOOKUP(B60,Schlüssel!$A$5:$DZ$10,14)</f>
        <v>6</v>
      </c>
      <c r="H62" s="47" t="s">
        <v>10</v>
      </c>
      <c r="I62" s="7">
        <f>VLOOKUP(B60,Schlüssel!$A$5:$DZ$10,15)</f>
        <v>1</v>
      </c>
      <c r="J62" s="47" t="s">
        <v>10</v>
      </c>
      <c r="K62" s="7">
        <f>VLOOKUP(B60,Schlüssel!$A$5:$DZ$10,16)</f>
        <v>5</v>
      </c>
      <c r="L62" s="47" t="s">
        <v>10</v>
      </c>
      <c r="M62" s="67">
        <f>VLOOKUP(B60,Schlüssel!$A$5:$DZ$10,17)</f>
        <v>4</v>
      </c>
    </row>
    <row r="63" spans="1:29" ht="20.25" customHeight="1" x14ac:dyDescent="0.2">
      <c r="B63" s="40" t="s">
        <v>1</v>
      </c>
      <c r="C63" s="41"/>
      <c r="D63" s="359" t="s">
        <v>1792</v>
      </c>
      <c r="E63" s="360"/>
      <c r="F63" s="359" t="s">
        <v>1793</v>
      </c>
      <c r="G63" s="360"/>
      <c r="H63" s="359" t="s">
        <v>1794</v>
      </c>
      <c r="I63" s="360"/>
      <c r="J63" s="359" t="s">
        <v>1795</v>
      </c>
      <c r="K63" s="360"/>
      <c r="L63" s="359" t="s">
        <v>1796</v>
      </c>
      <c r="M63" s="360"/>
      <c r="N63" s="361" t="s">
        <v>1791</v>
      </c>
      <c r="O63" s="362"/>
    </row>
    <row r="64" spans="1:29" ht="15" customHeight="1" thickBot="1" x14ac:dyDescent="0.25">
      <c r="B64" s="9" t="s">
        <v>1797</v>
      </c>
      <c r="C64" s="44" t="s">
        <v>1798</v>
      </c>
      <c r="D64" s="45" t="s">
        <v>1799</v>
      </c>
      <c r="E64" s="45" t="s">
        <v>1800</v>
      </c>
      <c r="F64" s="45" t="s">
        <v>1799</v>
      </c>
      <c r="G64" s="45" t="s">
        <v>1800</v>
      </c>
      <c r="H64" s="45" t="s">
        <v>1799</v>
      </c>
      <c r="I64" s="45" t="s">
        <v>1800</v>
      </c>
      <c r="J64" s="45" t="s">
        <v>1799</v>
      </c>
      <c r="K64" s="45" t="s">
        <v>1800</v>
      </c>
      <c r="L64" s="45" t="s">
        <v>1799</v>
      </c>
      <c r="M64" s="45" t="s">
        <v>1800</v>
      </c>
      <c r="N64" s="45" t="s">
        <v>1799</v>
      </c>
      <c r="O64" s="10" t="s">
        <v>1800</v>
      </c>
    </row>
    <row r="65" spans="1:15" ht="17.100000000000001" customHeight="1" x14ac:dyDescent="0.2">
      <c r="A65" s="355" t="s">
        <v>0</v>
      </c>
      <c r="B65" s="17"/>
      <c r="C65" s="18"/>
      <c r="D65" s="14"/>
      <c r="E65" s="352"/>
      <c r="F65" s="14"/>
      <c r="G65" s="352"/>
      <c r="H65" s="14"/>
      <c r="I65" s="352"/>
      <c r="J65" s="14"/>
      <c r="K65" s="352"/>
      <c r="L65" s="14"/>
      <c r="M65" s="352"/>
      <c r="N65" s="14"/>
      <c r="O65" s="352"/>
    </row>
    <row r="66" spans="1:15" ht="17.100000000000001" customHeight="1" x14ac:dyDescent="0.2">
      <c r="A66" s="356"/>
      <c r="B66" s="19"/>
      <c r="C66" s="20"/>
      <c r="D66" s="15"/>
      <c r="E66" s="353"/>
      <c r="F66" s="15"/>
      <c r="G66" s="353"/>
      <c r="H66" s="15"/>
      <c r="I66" s="353"/>
      <c r="J66" s="15"/>
      <c r="K66" s="353"/>
      <c r="L66" s="15"/>
      <c r="M66" s="353"/>
      <c r="N66" s="15"/>
      <c r="O66" s="353"/>
    </row>
    <row r="67" spans="1:15" ht="17.100000000000001" customHeight="1" thickBot="1" x14ac:dyDescent="0.25">
      <c r="A67" s="357"/>
      <c r="B67" s="21"/>
      <c r="C67" s="22"/>
      <c r="D67" s="9"/>
      <c r="E67" s="354"/>
      <c r="F67" s="9"/>
      <c r="G67" s="354"/>
      <c r="H67" s="9"/>
      <c r="I67" s="354"/>
      <c r="J67" s="9"/>
      <c r="K67" s="354"/>
      <c r="L67" s="9"/>
      <c r="M67" s="354"/>
      <c r="N67" s="9"/>
      <c r="O67" s="354"/>
    </row>
    <row r="68" spans="1:15" ht="17.100000000000001" customHeight="1" x14ac:dyDescent="0.2">
      <c r="A68" s="355" t="s">
        <v>2</v>
      </c>
      <c r="B68" s="17"/>
      <c r="C68" s="18"/>
      <c r="D68" s="14"/>
      <c r="E68" s="352"/>
      <c r="F68" s="14"/>
      <c r="G68" s="352"/>
      <c r="H68" s="14"/>
      <c r="I68" s="352"/>
      <c r="J68" s="14"/>
      <c r="K68" s="352"/>
      <c r="L68" s="14"/>
      <c r="M68" s="352"/>
      <c r="N68" s="14"/>
      <c r="O68" s="352"/>
    </row>
    <row r="69" spans="1:15" ht="17.100000000000001" customHeight="1" x14ac:dyDescent="0.2">
      <c r="A69" s="356"/>
      <c r="B69" s="19"/>
      <c r="C69" s="20"/>
      <c r="D69" s="15"/>
      <c r="E69" s="353"/>
      <c r="F69" s="15"/>
      <c r="G69" s="353"/>
      <c r="H69" s="15"/>
      <c r="I69" s="353"/>
      <c r="J69" s="15"/>
      <c r="K69" s="353"/>
      <c r="L69" s="15"/>
      <c r="M69" s="353"/>
      <c r="N69" s="15"/>
      <c r="O69" s="353"/>
    </row>
    <row r="70" spans="1:15" ht="17.100000000000001" customHeight="1" thickBot="1" x14ac:dyDescent="0.25">
      <c r="A70" s="357"/>
      <c r="B70" s="21"/>
      <c r="C70" s="22"/>
      <c r="D70" s="9"/>
      <c r="E70" s="354"/>
      <c r="F70" s="9"/>
      <c r="G70" s="354"/>
      <c r="H70" s="9"/>
      <c r="I70" s="354"/>
      <c r="J70" s="9"/>
      <c r="K70" s="354"/>
      <c r="L70" s="9"/>
      <c r="M70" s="354"/>
      <c r="N70" s="9"/>
      <c r="O70" s="354"/>
    </row>
    <row r="71" spans="1:15" ht="17.100000000000001" customHeight="1" x14ac:dyDescent="0.2">
      <c r="A71" s="355" t="s">
        <v>3</v>
      </c>
      <c r="B71" s="17"/>
      <c r="C71" s="18"/>
      <c r="D71" s="14"/>
      <c r="E71" s="352"/>
      <c r="F71" s="14"/>
      <c r="G71" s="352"/>
      <c r="H71" s="14"/>
      <c r="I71" s="352"/>
      <c r="J71" s="14"/>
      <c r="K71" s="352"/>
      <c r="L71" s="14"/>
      <c r="M71" s="352"/>
      <c r="N71" s="14"/>
      <c r="O71" s="352"/>
    </row>
    <row r="72" spans="1:15" ht="17.100000000000001" customHeight="1" x14ac:dyDescent="0.2">
      <c r="A72" s="356"/>
      <c r="B72" s="19"/>
      <c r="C72" s="20"/>
      <c r="D72" s="15"/>
      <c r="E72" s="353"/>
      <c r="F72" s="15"/>
      <c r="G72" s="353"/>
      <c r="H72" s="15"/>
      <c r="I72" s="353"/>
      <c r="J72" s="15"/>
      <c r="K72" s="353"/>
      <c r="L72" s="15"/>
      <c r="M72" s="353"/>
      <c r="N72" s="15"/>
      <c r="O72" s="353"/>
    </row>
    <row r="73" spans="1:15" ht="17.100000000000001" customHeight="1" thickBot="1" x14ac:dyDescent="0.25">
      <c r="A73" s="357"/>
      <c r="B73" s="21"/>
      <c r="C73" s="22"/>
      <c r="D73" s="9"/>
      <c r="E73" s="354"/>
      <c r="F73" s="9"/>
      <c r="G73" s="354"/>
      <c r="H73" s="9"/>
      <c r="I73" s="354"/>
      <c r="J73" s="9"/>
      <c r="K73" s="354"/>
      <c r="L73" s="9"/>
      <c r="M73" s="354"/>
      <c r="N73" s="9"/>
      <c r="O73" s="354"/>
    </row>
    <row r="74" spans="1:15" ht="17.100000000000001" customHeight="1" x14ac:dyDescent="0.2">
      <c r="A74" s="355" t="s">
        <v>11</v>
      </c>
      <c r="B74" s="17"/>
      <c r="C74" s="18"/>
      <c r="D74" s="14"/>
      <c r="E74" s="352"/>
      <c r="F74" s="14"/>
      <c r="G74" s="352"/>
      <c r="H74" s="14"/>
      <c r="I74" s="352"/>
      <c r="J74" s="14"/>
      <c r="K74" s="352"/>
      <c r="L74" s="14"/>
      <c r="M74" s="352"/>
      <c r="N74" s="14"/>
      <c r="O74" s="352"/>
    </row>
    <row r="75" spans="1:15" ht="17.100000000000001" customHeight="1" x14ac:dyDescent="0.2">
      <c r="A75" s="356"/>
      <c r="B75" s="19"/>
      <c r="C75" s="20"/>
      <c r="D75" s="15"/>
      <c r="E75" s="353"/>
      <c r="F75" s="15"/>
      <c r="G75" s="353"/>
      <c r="H75" s="15"/>
      <c r="I75" s="353"/>
      <c r="J75" s="15"/>
      <c r="K75" s="353"/>
      <c r="L75" s="15"/>
      <c r="M75" s="353"/>
      <c r="N75" s="15"/>
      <c r="O75" s="353"/>
    </row>
    <row r="76" spans="1:15" ht="17.100000000000001" customHeight="1" thickBot="1" x14ac:dyDescent="0.25">
      <c r="A76" s="357"/>
      <c r="B76" s="21"/>
      <c r="C76" s="22"/>
      <c r="D76" s="9"/>
      <c r="E76" s="354"/>
      <c r="F76" s="9"/>
      <c r="G76" s="354"/>
      <c r="H76" s="9"/>
      <c r="I76" s="354"/>
      <c r="J76" s="9"/>
      <c r="K76" s="354"/>
      <c r="L76" s="9"/>
      <c r="M76" s="354"/>
      <c r="N76" s="9"/>
      <c r="O76" s="354"/>
    </row>
    <row r="77" spans="1:15" ht="27.75" customHeight="1" thickBot="1" x14ac:dyDescent="0.25">
      <c r="B77" s="11"/>
      <c r="C77" s="26"/>
      <c r="D77" s="16"/>
      <c r="E77" s="12"/>
      <c r="F77" s="16"/>
      <c r="G77" s="12"/>
      <c r="H77" s="16"/>
      <c r="I77" s="12"/>
      <c r="J77" s="16"/>
      <c r="K77" s="12"/>
      <c r="L77" s="16"/>
      <c r="M77" s="12"/>
      <c r="N77" s="16"/>
      <c r="O77" s="12"/>
    </row>
    <row r="78" spans="1:15" ht="24" customHeight="1" thickBot="1" x14ac:dyDescent="0.25">
      <c r="B78" s="8"/>
      <c r="C78" s="1"/>
      <c r="D78" s="1"/>
      <c r="E78" s="23"/>
      <c r="F78" s="1"/>
      <c r="G78" s="23"/>
      <c r="H78" s="1"/>
      <c r="I78" s="23"/>
      <c r="J78" s="1"/>
      <c r="K78" s="23"/>
      <c r="L78" s="1"/>
      <c r="M78" s="23"/>
      <c r="N78" s="1"/>
      <c r="O78" s="23"/>
    </row>
    <row r="79" spans="1:15" ht="11.25" customHeight="1" x14ac:dyDescent="0.2">
      <c r="B79" s="1"/>
      <c r="C79" s="1"/>
      <c r="D79" s="1"/>
      <c r="E79" s="2"/>
      <c r="F79" s="1"/>
      <c r="G79" s="2"/>
      <c r="H79" s="1"/>
      <c r="I79" s="2"/>
      <c r="J79" s="1"/>
      <c r="K79" s="2"/>
      <c r="L79" s="1"/>
      <c r="M79" s="2"/>
      <c r="N79" s="1"/>
      <c r="O79" s="2"/>
    </row>
    <row r="80" spans="1:15" ht="12.75" customHeight="1" x14ac:dyDescent="0.2">
      <c r="B80" s="13" t="s">
        <v>1789</v>
      </c>
      <c r="C80" s="5" t="s">
        <v>1790</v>
      </c>
      <c r="D80" s="350">
        <f>VLOOKUP(B60,Schlüssel!$A$5:$K$10,3)</f>
        <v>4</v>
      </c>
      <c r="E80" s="350"/>
      <c r="F80" s="350">
        <f>VLOOKUP(B60,Schlüssel!$A$5:$K$10,4)</f>
        <v>2</v>
      </c>
      <c r="G80" s="350"/>
      <c r="H80" s="350">
        <f>VLOOKUP(B60,Schlüssel!$A$5:$K$10,5)</f>
        <v>1</v>
      </c>
      <c r="I80" s="350"/>
      <c r="J80" s="350">
        <f>VLOOKUP(B60,Schlüssel!$A$5:$K$10,6)</f>
        <v>5</v>
      </c>
      <c r="K80" s="350"/>
      <c r="L80" s="350">
        <f>VLOOKUP(B60,Schlüssel!$A$5:$K$10,7)</f>
        <v>6</v>
      </c>
      <c r="M80" s="350"/>
      <c r="N80" s="351"/>
      <c r="O80" s="351"/>
    </row>
    <row r="81" spans="1:29" ht="28.5" customHeight="1" x14ac:dyDescent="0.2">
      <c r="B81" s="4"/>
      <c r="C81" s="1"/>
      <c r="D81" s="347" t="str">
        <f>VLOOKUP(D80,Schlüssel!$A$5:$K$10,2)</f>
        <v>Kings Club Bayreuth Land 3</v>
      </c>
      <c r="E81" s="348"/>
      <c r="F81" s="347" t="str">
        <f>VLOOKUP(F80,Schlüssel!$A$5:$K$10,2)</f>
        <v>Herzogenaurach 1</v>
      </c>
      <c r="G81" s="348"/>
      <c r="H81" s="347" t="str">
        <f>VLOOKUP(H80,Schlüssel!$A$5:$K$10,2)</f>
        <v>Castra Regina Regensburg 3</v>
      </c>
      <c r="I81" s="348"/>
      <c r="J81" s="347" t="str">
        <f>VLOOKUP(J80,Schlüssel!$A$5:$K$10,2)</f>
        <v>Castra Regina Regensburg 2</v>
      </c>
      <c r="K81" s="348"/>
      <c r="L81" s="347" t="str">
        <f>VLOOKUP(L80,Schlüssel!$A$5:$K$10,2)</f>
        <v>Adler Nürnberg 1</v>
      </c>
      <c r="M81" s="348"/>
      <c r="N81" s="349"/>
      <c r="O81" s="349"/>
    </row>
    <row r="82" spans="1:29" ht="12" customHeight="1" x14ac:dyDescent="0.2">
      <c r="B82" s="4"/>
      <c r="C82" s="1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10"/>
      <c r="O82" s="310"/>
    </row>
    <row r="83" spans="1:29" ht="15.95" customHeight="1" x14ac:dyDescent="0.2">
      <c r="B83" s="35" t="s">
        <v>0</v>
      </c>
      <c r="C83" s="36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5"/>
      <c r="O83" s="345"/>
    </row>
    <row r="84" spans="1:29" ht="15.95" customHeight="1" x14ac:dyDescent="0.2">
      <c r="B84" s="35" t="s">
        <v>2</v>
      </c>
      <c r="C84" s="36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5"/>
      <c r="O84" s="345"/>
    </row>
    <row r="85" spans="1:29" ht="15.95" customHeight="1" x14ac:dyDescent="0.2">
      <c r="B85" s="35" t="s">
        <v>3</v>
      </c>
      <c r="C85" s="36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5"/>
      <c r="O85" s="345"/>
    </row>
    <row r="86" spans="1:29" ht="15.95" customHeight="1" x14ac:dyDescent="0.2">
      <c r="B86" s="35" t="s">
        <v>11</v>
      </c>
      <c r="C86" s="36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5"/>
      <c r="O86" s="345"/>
    </row>
    <row r="87" spans="1:29" ht="15.95" customHeight="1" x14ac:dyDescent="0.2">
      <c r="B87" s="37" t="s">
        <v>1791</v>
      </c>
      <c r="C87" s="38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298"/>
      <c r="O87" s="298"/>
    </row>
    <row r="88" spans="1:29" ht="21" customHeight="1" x14ac:dyDescent="0.35">
      <c r="B88" s="7" t="s">
        <v>1801</v>
      </c>
      <c r="C88" s="30" t="s">
        <v>1785</v>
      </c>
      <c r="D88" s="77" t="str">
        <f>Schlüssel!$C$1</f>
        <v>Bezirksliga N1 Männer</v>
      </c>
      <c r="F88" s="25"/>
      <c r="G88" s="25"/>
      <c r="H88" s="25"/>
      <c r="I88" s="25"/>
      <c r="K88" s="29"/>
      <c r="L88" s="358" t="str">
        <f>Schlüssel!$M$1</f>
        <v>13.10.</v>
      </c>
      <c r="M88" s="358"/>
      <c r="N88" s="358"/>
      <c r="AC88" s="90"/>
    </row>
    <row r="89" spans="1:29" ht="17.25" customHeight="1" thickBot="1" x14ac:dyDescent="0.3">
      <c r="A89" s="49"/>
      <c r="B89" s="50">
        <f>+B60+1</f>
        <v>4</v>
      </c>
      <c r="C89" s="30" t="s">
        <v>1786</v>
      </c>
      <c r="D89" s="84" t="str">
        <f>Schlüssel!$C$2</f>
        <v>Nürnberg West Bowling</v>
      </c>
      <c r="F89" s="77"/>
      <c r="G89" s="77"/>
      <c r="H89" s="77"/>
      <c r="I89" s="77"/>
      <c r="K89" s="77"/>
      <c r="L89" s="29" t="s">
        <v>1784</v>
      </c>
      <c r="M89" s="34">
        <v>1</v>
      </c>
      <c r="N89" s="28"/>
      <c r="AC89" s="91"/>
    </row>
    <row r="90" spans="1:29" ht="15.75" customHeight="1" thickBot="1" x14ac:dyDescent="0.25">
      <c r="B90" s="32" t="str">
        <f>VLOOKUP(B89,Schlüssel!$A$5:$B$10,2)</f>
        <v>Kings Club Bayreuth Land 3</v>
      </c>
      <c r="C90" s="31"/>
      <c r="D90" s="42"/>
      <c r="E90" s="46"/>
      <c r="F90" s="48"/>
      <c r="G90" s="27"/>
      <c r="H90" s="27"/>
      <c r="I90" s="27"/>
      <c r="J90" s="27"/>
      <c r="K90" s="27"/>
      <c r="L90" s="27"/>
      <c r="M90" s="27"/>
    </row>
    <row r="91" spans="1:29" ht="13.5" thickBot="1" x14ac:dyDescent="0.25">
      <c r="A91" s="6"/>
      <c r="B91" s="7"/>
      <c r="C91" s="39"/>
      <c r="D91" s="43" t="s">
        <v>10</v>
      </c>
      <c r="E91" s="7">
        <f>VLOOKUP(B89,Schlüssel!$A$5:$DZ$10,13)</f>
        <v>4</v>
      </c>
      <c r="F91" s="47" t="s">
        <v>10</v>
      </c>
      <c r="G91" s="7">
        <f>VLOOKUP(B89,Schlüssel!$A$5:$DZ$10,14)</f>
        <v>2</v>
      </c>
      <c r="H91" s="47" t="s">
        <v>10</v>
      </c>
      <c r="I91" s="7">
        <f>VLOOKUP(B89,Schlüssel!$A$5:$DZ$10,15)</f>
        <v>6</v>
      </c>
      <c r="J91" s="47" t="s">
        <v>10</v>
      </c>
      <c r="K91" s="7">
        <f>VLOOKUP(B89,Schlüssel!$A$5:$DZ$10,16)</f>
        <v>3</v>
      </c>
      <c r="L91" s="47" t="s">
        <v>10</v>
      </c>
      <c r="M91" s="67">
        <f>VLOOKUP(B89,Schlüssel!$A$5:$DZ$10,17)</f>
        <v>5</v>
      </c>
    </row>
    <row r="92" spans="1:29" ht="20.25" customHeight="1" x14ac:dyDescent="0.2">
      <c r="B92" s="40" t="s">
        <v>1</v>
      </c>
      <c r="C92" s="41"/>
      <c r="D92" s="359" t="s">
        <v>1792</v>
      </c>
      <c r="E92" s="360"/>
      <c r="F92" s="359" t="s">
        <v>1793</v>
      </c>
      <c r="G92" s="360"/>
      <c r="H92" s="359" t="s">
        <v>1794</v>
      </c>
      <c r="I92" s="360"/>
      <c r="J92" s="359" t="s">
        <v>1795</v>
      </c>
      <c r="K92" s="360"/>
      <c r="L92" s="359" t="s">
        <v>1796</v>
      </c>
      <c r="M92" s="360"/>
      <c r="N92" s="361" t="s">
        <v>1791</v>
      </c>
      <c r="O92" s="362"/>
    </row>
    <row r="93" spans="1:29" ht="15" customHeight="1" thickBot="1" x14ac:dyDescent="0.25">
      <c r="B93" s="9" t="s">
        <v>1797</v>
      </c>
      <c r="C93" s="44" t="s">
        <v>1798</v>
      </c>
      <c r="D93" s="45" t="s">
        <v>1799</v>
      </c>
      <c r="E93" s="45" t="s">
        <v>1800</v>
      </c>
      <c r="F93" s="45" t="s">
        <v>1799</v>
      </c>
      <c r="G93" s="45" t="s">
        <v>1800</v>
      </c>
      <c r="H93" s="45" t="s">
        <v>1799</v>
      </c>
      <c r="I93" s="45" t="s">
        <v>1800</v>
      </c>
      <c r="J93" s="45" t="s">
        <v>1799</v>
      </c>
      <c r="K93" s="45" t="s">
        <v>1800</v>
      </c>
      <c r="L93" s="45" t="s">
        <v>1799</v>
      </c>
      <c r="M93" s="45" t="s">
        <v>1800</v>
      </c>
      <c r="N93" s="45" t="s">
        <v>1799</v>
      </c>
      <c r="O93" s="10" t="s">
        <v>1800</v>
      </c>
    </row>
    <row r="94" spans="1:29" ht="17.100000000000001" customHeight="1" x14ac:dyDescent="0.2">
      <c r="A94" s="355" t="s">
        <v>0</v>
      </c>
      <c r="B94" s="17"/>
      <c r="C94" s="18"/>
      <c r="D94" s="14"/>
      <c r="E94" s="352"/>
      <c r="F94" s="14"/>
      <c r="G94" s="352"/>
      <c r="H94" s="14"/>
      <c r="I94" s="352"/>
      <c r="J94" s="14"/>
      <c r="K94" s="352"/>
      <c r="L94" s="14"/>
      <c r="M94" s="352"/>
      <c r="N94" s="14"/>
      <c r="O94" s="352"/>
    </row>
    <row r="95" spans="1:29" ht="17.100000000000001" customHeight="1" x14ac:dyDescent="0.2">
      <c r="A95" s="356"/>
      <c r="B95" s="19"/>
      <c r="C95" s="20"/>
      <c r="D95" s="15"/>
      <c r="E95" s="353"/>
      <c r="F95" s="15"/>
      <c r="G95" s="353"/>
      <c r="H95" s="15"/>
      <c r="I95" s="353"/>
      <c r="J95" s="15"/>
      <c r="K95" s="353"/>
      <c r="L95" s="15"/>
      <c r="M95" s="353"/>
      <c r="N95" s="15"/>
      <c r="O95" s="353"/>
    </row>
    <row r="96" spans="1:29" ht="17.100000000000001" customHeight="1" thickBot="1" x14ac:dyDescent="0.25">
      <c r="A96" s="357"/>
      <c r="B96" s="21"/>
      <c r="C96" s="22"/>
      <c r="D96" s="9"/>
      <c r="E96" s="354"/>
      <c r="F96" s="9"/>
      <c r="G96" s="354"/>
      <c r="H96" s="9"/>
      <c r="I96" s="354"/>
      <c r="J96" s="9"/>
      <c r="K96" s="354"/>
      <c r="L96" s="9"/>
      <c r="M96" s="354"/>
      <c r="N96" s="9"/>
      <c r="O96" s="354"/>
    </row>
    <row r="97" spans="1:15" ht="17.100000000000001" customHeight="1" x14ac:dyDescent="0.2">
      <c r="A97" s="355" t="s">
        <v>2</v>
      </c>
      <c r="B97" s="17"/>
      <c r="C97" s="18"/>
      <c r="D97" s="14"/>
      <c r="E97" s="352"/>
      <c r="F97" s="14"/>
      <c r="G97" s="352"/>
      <c r="H97" s="14"/>
      <c r="I97" s="352"/>
      <c r="J97" s="14"/>
      <c r="K97" s="352"/>
      <c r="L97" s="14"/>
      <c r="M97" s="352"/>
      <c r="N97" s="14"/>
      <c r="O97" s="352"/>
    </row>
    <row r="98" spans="1:15" ht="17.100000000000001" customHeight="1" x14ac:dyDescent="0.2">
      <c r="A98" s="356"/>
      <c r="B98" s="19"/>
      <c r="C98" s="20"/>
      <c r="D98" s="15"/>
      <c r="E98" s="353"/>
      <c r="F98" s="15"/>
      <c r="G98" s="353"/>
      <c r="H98" s="15"/>
      <c r="I98" s="353"/>
      <c r="J98" s="15"/>
      <c r="K98" s="353"/>
      <c r="L98" s="15"/>
      <c r="M98" s="353"/>
      <c r="N98" s="15"/>
      <c r="O98" s="353"/>
    </row>
    <row r="99" spans="1:15" ht="17.100000000000001" customHeight="1" thickBot="1" x14ac:dyDescent="0.25">
      <c r="A99" s="357"/>
      <c r="B99" s="21"/>
      <c r="C99" s="22"/>
      <c r="D99" s="9"/>
      <c r="E99" s="354"/>
      <c r="F99" s="9"/>
      <c r="G99" s="354"/>
      <c r="H99" s="9"/>
      <c r="I99" s="354"/>
      <c r="J99" s="9"/>
      <c r="K99" s="354"/>
      <c r="L99" s="9"/>
      <c r="M99" s="354"/>
      <c r="N99" s="9"/>
      <c r="O99" s="354"/>
    </row>
    <row r="100" spans="1:15" ht="17.100000000000001" customHeight="1" x14ac:dyDescent="0.2">
      <c r="A100" s="355" t="s">
        <v>3</v>
      </c>
      <c r="B100" s="17"/>
      <c r="C100" s="18"/>
      <c r="D100" s="14"/>
      <c r="E100" s="352"/>
      <c r="F100" s="14"/>
      <c r="G100" s="352"/>
      <c r="H100" s="14"/>
      <c r="I100" s="352"/>
      <c r="J100" s="14"/>
      <c r="K100" s="352"/>
      <c r="L100" s="14"/>
      <c r="M100" s="352"/>
      <c r="N100" s="14"/>
      <c r="O100" s="352"/>
    </row>
    <row r="101" spans="1:15" ht="17.100000000000001" customHeight="1" x14ac:dyDescent="0.2">
      <c r="A101" s="356"/>
      <c r="B101" s="19"/>
      <c r="C101" s="20"/>
      <c r="D101" s="15"/>
      <c r="E101" s="353"/>
      <c r="F101" s="15"/>
      <c r="G101" s="353"/>
      <c r="H101" s="15"/>
      <c r="I101" s="353"/>
      <c r="J101" s="15"/>
      <c r="K101" s="353"/>
      <c r="L101" s="15"/>
      <c r="M101" s="353"/>
      <c r="N101" s="15"/>
      <c r="O101" s="353"/>
    </row>
    <row r="102" spans="1:15" ht="17.100000000000001" customHeight="1" thickBot="1" x14ac:dyDescent="0.25">
      <c r="A102" s="357"/>
      <c r="B102" s="21"/>
      <c r="C102" s="22"/>
      <c r="D102" s="9"/>
      <c r="E102" s="354"/>
      <c r="F102" s="9"/>
      <c r="G102" s="354"/>
      <c r="H102" s="9"/>
      <c r="I102" s="354"/>
      <c r="J102" s="9"/>
      <c r="K102" s="354"/>
      <c r="L102" s="9"/>
      <c r="M102" s="354"/>
      <c r="N102" s="9"/>
      <c r="O102" s="354"/>
    </row>
    <row r="103" spans="1:15" ht="17.100000000000001" customHeight="1" x14ac:dyDescent="0.2">
      <c r="A103" s="355" t="s">
        <v>11</v>
      </c>
      <c r="B103" s="17"/>
      <c r="C103" s="18"/>
      <c r="D103" s="14"/>
      <c r="E103" s="352"/>
      <c r="F103" s="14"/>
      <c r="G103" s="352"/>
      <c r="H103" s="14"/>
      <c r="I103" s="352"/>
      <c r="J103" s="14"/>
      <c r="K103" s="352"/>
      <c r="L103" s="14"/>
      <c r="M103" s="352"/>
      <c r="N103" s="14"/>
      <c r="O103" s="352"/>
    </row>
    <row r="104" spans="1:15" ht="17.100000000000001" customHeight="1" x14ac:dyDescent="0.2">
      <c r="A104" s="356"/>
      <c r="B104" s="19"/>
      <c r="C104" s="20"/>
      <c r="D104" s="15"/>
      <c r="E104" s="353"/>
      <c r="F104" s="15"/>
      <c r="G104" s="353"/>
      <c r="H104" s="15"/>
      <c r="I104" s="353"/>
      <c r="J104" s="15"/>
      <c r="K104" s="353"/>
      <c r="L104" s="15"/>
      <c r="M104" s="353"/>
      <c r="N104" s="15"/>
      <c r="O104" s="353"/>
    </row>
    <row r="105" spans="1:15" ht="17.100000000000001" customHeight="1" thickBot="1" x14ac:dyDescent="0.25">
      <c r="A105" s="357"/>
      <c r="B105" s="21"/>
      <c r="C105" s="22"/>
      <c r="D105" s="9"/>
      <c r="E105" s="354"/>
      <c r="F105" s="9"/>
      <c r="G105" s="354"/>
      <c r="H105" s="9"/>
      <c r="I105" s="354"/>
      <c r="J105" s="9"/>
      <c r="K105" s="354"/>
      <c r="L105" s="9"/>
      <c r="M105" s="354"/>
      <c r="N105" s="9"/>
      <c r="O105" s="354"/>
    </row>
    <row r="106" spans="1:15" ht="27.75" customHeight="1" thickBot="1" x14ac:dyDescent="0.25">
      <c r="B106" s="11"/>
      <c r="C106" s="26"/>
      <c r="D106" s="16"/>
      <c r="E106" s="12"/>
      <c r="F106" s="16"/>
      <c r="G106" s="12"/>
      <c r="H106" s="16"/>
      <c r="I106" s="12"/>
      <c r="J106" s="16"/>
      <c r="K106" s="12"/>
      <c r="L106" s="16"/>
      <c r="M106" s="12"/>
      <c r="N106" s="16"/>
      <c r="O106" s="12"/>
    </row>
    <row r="107" spans="1:15" ht="24" customHeight="1" thickBot="1" x14ac:dyDescent="0.25">
      <c r="B107" s="8"/>
      <c r="C107" s="1"/>
      <c r="D107" s="1"/>
      <c r="E107" s="23"/>
      <c r="F107" s="1"/>
      <c r="G107" s="23"/>
      <c r="H107" s="1"/>
      <c r="I107" s="23"/>
      <c r="J107" s="1"/>
      <c r="K107" s="23"/>
      <c r="L107" s="1"/>
      <c r="M107" s="23"/>
      <c r="N107" s="1"/>
      <c r="O107" s="23"/>
    </row>
    <row r="108" spans="1:15" ht="11.25" customHeight="1" x14ac:dyDescent="0.2">
      <c r="B108" s="1"/>
      <c r="C108" s="1"/>
      <c r="D108" s="1"/>
      <c r="E108" s="2"/>
      <c r="F108" s="1"/>
      <c r="G108" s="2"/>
      <c r="H108" s="1"/>
      <c r="I108" s="2"/>
      <c r="J108" s="1"/>
      <c r="K108" s="2"/>
      <c r="L108" s="1"/>
      <c r="M108" s="2"/>
      <c r="N108" s="1"/>
      <c r="O108" s="2"/>
    </row>
    <row r="109" spans="1:15" ht="12.75" customHeight="1" x14ac:dyDescent="0.2">
      <c r="B109" s="13" t="s">
        <v>1789</v>
      </c>
      <c r="C109" s="5" t="s">
        <v>1790</v>
      </c>
      <c r="D109" s="350">
        <f>VLOOKUP(B89,Schlüssel!$A$5:$K$10,3)</f>
        <v>3</v>
      </c>
      <c r="E109" s="350"/>
      <c r="F109" s="350">
        <f>VLOOKUP(B89,Schlüssel!$A$5:$K$10,4)</f>
        <v>5</v>
      </c>
      <c r="G109" s="350"/>
      <c r="H109" s="350">
        <f>VLOOKUP(B89,Schlüssel!$A$5:$K$10,5)</f>
        <v>6</v>
      </c>
      <c r="I109" s="350"/>
      <c r="J109" s="350">
        <f>VLOOKUP(B89,Schlüssel!$A$5:$K$10,6)</f>
        <v>1</v>
      </c>
      <c r="K109" s="350"/>
      <c r="L109" s="350">
        <f>VLOOKUP(B89,Schlüssel!$A$5:$K$10,7)</f>
        <v>2</v>
      </c>
      <c r="M109" s="350"/>
      <c r="N109" s="351"/>
      <c r="O109" s="351"/>
    </row>
    <row r="110" spans="1:15" ht="28.5" customHeight="1" x14ac:dyDescent="0.2">
      <c r="B110" s="4"/>
      <c r="C110" s="1"/>
      <c r="D110" s="347" t="str">
        <f>VLOOKUP(D109,Schlüssel!$A$5:$K$10,2)</f>
        <v>Kings Club Bayreuth Land 2</v>
      </c>
      <c r="E110" s="348"/>
      <c r="F110" s="347" t="str">
        <f>VLOOKUP(F109,Schlüssel!$A$5:$K$10,2)</f>
        <v>Castra Regina Regensburg 2</v>
      </c>
      <c r="G110" s="348"/>
      <c r="H110" s="347" t="str">
        <f>VLOOKUP(H109,Schlüssel!$A$5:$K$10,2)</f>
        <v>Adler Nürnberg 1</v>
      </c>
      <c r="I110" s="348"/>
      <c r="J110" s="347" t="str">
        <f>VLOOKUP(J109,Schlüssel!$A$5:$K$10,2)</f>
        <v>Castra Regina Regensburg 3</v>
      </c>
      <c r="K110" s="348"/>
      <c r="L110" s="347" t="str">
        <f>VLOOKUP(L109,Schlüssel!$A$5:$K$10,2)</f>
        <v>Herzogenaurach 1</v>
      </c>
      <c r="M110" s="348"/>
      <c r="N110" s="349"/>
      <c r="O110" s="349"/>
    </row>
    <row r="111" spans="1:15" ht="12" customHeight="1" x14ac:dyDescent="0.2">
      <c r="B111" s="4"/>
      <c r="C111" s="1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10"/>
      <c r="O111" s="310"/>
    </row>
    <row r="112" spans="1:15" ht="15.95" customHeight="1" x14ac:dyDescent="0.2">
      <c r="B112" s="35" t="s">
        <v>0</v>
      </c>
      <c r="C112" s="36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5"/>
      <c r="O112" s="345"/>
    </row>
    <row r="113" spans="1:29" ht="15.95" customHeight="1" x14ac:dyDescent="0.2">
      <c r="B113" s="35" t="s">
        <v>2</v>
      </c>
      <c r="C113" s="36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5"/>
      <c r="O113" s="345"/>
    </row>
    <row r="114" spans="1:29" ht="15.95" customHeight="1" x14ac:dyDescent="0.2">
      <c r="B114" s="35" t="s">
        <v>3</v>
      </c>
      <c r="C114" s="36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5"/>
      <c r="O114" s="345"/>
    </row>
    <row r="115" spans="1:29" ht="15.95" customHeight="1" x14ac:dyDescent="0.2">
      <c r="B115" s="35" t="s">
        <v>11</v>
      </c>
      <c r="C115" s="36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5"/>
      <c r="O115" s="345"/>
    </row>
    <row r="116" spans="1:29" ht="15.95" customHeight="1" x14ac:dyDescent="0.2">
      <c r="B116" s="37" t="s">
        <v>1791</v>
      </c>
      <c r="C116" s="38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298"/>
      <c r="O116" s="298"/>
    </row>
    <row r="117" spans="1:29" ht="21" customHeight="1" x14ac:dyDescent="0.35">
      <c r="B117" s="7" t="s">
        <v>1801</v>
      </c>
      <c r="C117" s="30" t="s">
        <v>1785</v>
      </c>
      <c r="D117" s="77" t="str">
        <f>Schlüssel!$C$1</f>
        <v>Bezirksliga N1 Männer</v>
      </c>
      <c r="F117" s="25"/>
      <c r="G117" s="25"/>
      <c r="H117" s="25"/>
      <c r="I117" s="25"/>
      <c r="K117" s="29"/>
      <c r="L117" s="358" t="str">
        <f>Schlüssel!$M$1</f>
        <v>13.10.</v>
      </c>
      <c r="M117" s="358"/>
      <c r="N117" s="358"/>
      <c r="AC117" s="90"/>
    </row>
    <row r="118" spans="1:29" ht="17.25" customHeight="1" thickBot="1" x14ac:dyDescent="0.3">
      <c r="A118" s="49"/>
      <c r="B118" s="50">
        <f>+B89+1</f>
        <v>5</v>
      </c>
      <c r="C118" s="30" t="s">
        <v>1786</v>
      </c>
      <c r="D118" s="84" t="str">
        <f>Schlüssel!$C$2</f>
        <v>Nürnberg West Bowling</v>
      </c>
      <c r="F118" s="77"/>
      <c r="G118" s="77"/>
      <c r="H118" s="77"/>
      <c r="I118" s="77"/>
      <c r="K118" s="77"/>
      <c r="L118" s="29" t="s">
        <v>1784</v>
      </c>
      <c r="M118" s="34">
        <v>1</v>
      </c>
      <c r="N118" s="28"/>
      <c r="AC118" s="91"/>
    </row>
    <row r="119" spans="1:29" ht="15.75" customHeight="1" thickBot="1" x14ac:dyDescent="0.25">
      <c r="B119" s="32" t="str">
        <f>VLOOKUP(B118,Schlüssel!$A$5:$B$10,2)</f>
        <v>Castra Regina Regensburg 2</v>
      </c>
      <c r="C119" s="31"/>
      <c r="D119" s="42"/>
      <c r="E119" s="46"/>
      <c r="F119" s="48"/>
      <c r="G119" s="27"/>
      <c r="H119" s="27"/>
      <c r="I119" s="27"/>
      <c r="J119" s="27"/>
      <c r="K119" s="27"/>
      <c r="L119" s="27"/>
      <c r="M119" s="27"/>
    </row>
    <row r="120" spans="1:29" ht="13.5" thickBot="1" x14ac:dyDescent="0.25">
      <c r="A120" s="6"/>
      <c r="B120" s="7"/>
      <c r="C120" s="39"/>
      <c r="D120" s="43" t="s">
        <v>10</v>
      </c>
      <c r="E120" s="7">
        <f>VLOOKUP(B118,Schlüssel!$A$5:$DZ$10,13)</f>
        <v>5</v>
      </c>
      <c r="F120" s="47" t="s">
        <v>10</v>
      </c>
      <c r="G120" s="7">
        <f>VLOOKUP(B118,Schlüssel!$A$5:$DZ$10,14)</f>
        <v>1</v>
      </c>
      <c r="H120" s="47" t="s">
        <v>10</v>
      </c>
      <c r="I120" s="7">
        <f>VLOOKUP(B118,Schlüssel!$A$5:$DZ$10,15)</f>
        <v>4</v>
      </c>
      <c r="J120" s="47" t="s">
        <v>10</v>
      </c>
      <c r="K120" s="7">
        <f>VLOOKUP(B118,Schlüssel!$A$5:$DZ$10,16)</f>
        <v>6</v>
      </c>
      <c r="L120" s="47" t="s">
        <v>10</v>
      </c>
      <c r="M120" s="67">
        <f>VLOOKUP(B118,Schlüssel!$A$5:$DZ$10,17)</f>
        <v>2</v>
      </c>
    </row>
    <row r="121" spans="1:29" ht="20.25" customHeight="1" x14ac:dyDescent="0.2">
      <c r="B121" s="40" t="s">
        <v>1</v>
      </c>
      <c r="C121" s="41"/>
      <c r="D121" s="359" t="s">
        <v>1792</v>
      </c>
      <c r="E121" s="360"/>
      <c r="F121" s="359" t="s">
        <v>1793</v>
      </c>
      <c r="G121" s="360"/>
      <c r="H121" s="359" t="s">
        <v>1794</v>
      </c>
      <c r="I121" s="360"/>
      <c r="J121" s="359" t="s">
        <v>1795</v>
      </c>
      <c r="K121" s="360"/>
      <c r="L121" s="359" t="s">
        <v>1796</v>
      </c>
      <c r="M121" s="360"/>
      <c r="N121" s="361" t="s">
        <v>1791</v>
      </c>
      <c r="O121" s="362"/>
    </row>
    <row r="122" spans="1:29" ht="15" customHeight="1" thickBot="1" x14ac:dyDescent="0.25">
      <c r="B122" s="9" t="s">
        <v>1797</v>
      </c>
      <c r="C122" s="44" t="s">
        <v>1798</v>
      </c>
      <c r="D122" s="45" t="s">
        <v>1799</v>
      </c>
      <c r="E122" s="45" t="s">
        <v>1800</v>
      </c>
      <c r="F122" s="45" t="s">
        <v>1799</v>
      </c>
      <c r="G122" s="45" t="s">
        <v>1800</v>
      </c>
      <c r="H122" s="45" t="s">
        <v>1799</v>
      </c>
      <c r="I122" s="45" t="s">
        <v>1800</v>
      </c>
      <c r="J122" s="45" t="s">
        <v>1799</v>
      </c>
      <c r="K122" s="45" t="s">
        <v>1800</v>
      </c>
      <c r="L122" s="45" t="s">
        <v>1799</v>
      </c>
      <c r="M122" s="45" t="s">
        <v>1800</v>
      </c>
      <c r="N122" s="45" t="s">
        <v>1799</v>
      </c>
      <c r="O122" s="10" t="s">
        <v>1800</v>
      </c>
    </row>
    <row r="123" spans="1:29" ht="17.100000000000001" customHeight="1" x14ac:dyDescent="0.2">
      <c r="A123" s="355" t="s">
        <v>0</v>
      </c>
      <c r="B123" s="17"/>
      <c r="C123" s="18"/>
      <c r="D123" s="14"/>
      <c r="E123" s="352"/>
      <c r="F123" s="14"/>
      <c r="G123" s="352"/>
      <c r="H123" s="14"/>
      <c r="I123" s="352"/>
      <c r="J123" s="14"/>
      <c r="K123" s="352"/>
      <c r="L123" s="14"/>
      <c r="M123" s="352"/>
      <c r="N123" s="14"/>
      <c r="O123" s="352"/>
    </row>
    <row r="124" spans="1:29" ht="17.100000000000001" customHeight="1" x14ac:dyDescent="0.2">
      <c r="A124" s="356"/>
      <c r="B124" s="19"/>
      <c r="C124" s="20"/>
      <c r="D124" s="15"/>
      <c r="E124" s="353"/>
      <c r="F124" s="15"/>
      <c r="G124" s="353"/>
      <c r="H124" s="15"/>
      <c r="I124" s="353"/>
      <c r="J124" s="15"/>
      <c r="K124" s="353"/>
      <c r="L124" s="15"/>
      <c r="M124" s="353"/>
      <c r="N124" s="15"/>
      <c r="O124" s="353"/>
    </row>
    <row r="125" spans="1:29" ht="17.100000000000001" customHeight="1" thickBot="1" x14ac:dyDescent="0.25">
      <c r="A125" s="357"/>
      <c r="B125" s="21"/>
      <c r="C125" s="22"/>
      <c r="D125" s="9"/>
      <c r="E125" s="354"/>
      <c r="F125" s="9"/>
      <c r="G125" s="354"/>
      <c r="H125" s="9"/>
      <c r="I125" s="354"/>
      <c r="J125" s="9"/>
      <c r="K125" s="354"/>
      <c r="L125" s="9"/>
      <c r="M125" s="354"/>
      <c r="N125" s="9"/>
      <c r="O125" s="354"/>
    </row>
    <row r="126" spans="1:29" ht="17.100000000000001" customHeight="1" x14ac:dyDescent="0.2">
      <c r="A126" s="355" t="s">
        <v>2</v>
      </c>
      <c r="B126" s="17"/>
      <c r="C126" s="18"/>
      <c r="D126" s="14"/>
      <c r="E126" s="352"/>
      <c r="F126" s="14"/>
      <c r="G126" s="352"/>
      <c r="H126" s="14"/>
      <c r="I126" s="352"/>
      <c r="J126" s="14"/>
      <c r="K126" s="352"/>
      <c r="L126" s="14"/>
      <c r="M126" s="352"/>
      <c r="N126" s="14"/>
      <c r="O126" s="352"/>
    </row>
    <row r="127" spans="1:29" ht="17.100000000000001" customHeight="1" x14ac:dyDescent="0.2">
      <c r="A127" s="356"/>
      <c r="B127" s="19"/>
      <c r="C127" s="20"/>
      <c r="D127" s="15"/>
      <c r="E127" s="353"/>
      <c r="F127" s="15"/>
      <c r="G127" s="353"/>
      <c r="H127" s="15"/>
      <c r="I127" s="353"/>
      <c r="J127" s="15"/>
      <c r="K127" s="353"/>
      <c r="L127" s="15"/>
      <c r="M127" s="353"/>
      <c r="N127" s="15"/>
      <c r="O127" s="353"/>
    </row>
    <row r="128" spans="1:29" ht="17.100000000000001" customHeight="1" thickBot="1" x14ac:dyDescent="0.25">
      <c r="A128" s="357"/>
      <c r="B128" s="21"/>
      <c r="C128" s="22"/>
      <c r="D128" s="9"/>
      <c r="E128" s="354"/>
      <c r="F128" s="9"/>
      <c r="G128" s="354"/>
      <c r="H128" s="9"/>
      <c r="I128" s="354"/>
      <c r="J128" s="9"/>
      <c r="K128" s="354"/>
      <c r="L128" s="9"/>
      <c r="M128" s="354"/>
      <c r="N128" s="9"/>
      <c r="O128" s="354"/>
    </row>
    <row r="129" spans="1:15" ht="17.100000000000001" customHeight="1" x14ac:dyDescent="0.2">
      <c r="A129" s="355" t="s">
        <v>3</v>
      </c>
      <c r="B129" s="17"/>
      <c r="C129" s="18"/>
      <c r="D129" s="14"/>
      <c r="E129" s="352"/>
      <c r="F129" s="14"/>
      <c r="G129" s="352"/>
      <c r="H129" s="14"/>
      <c r="I129" s="352"/>
      <c r="J129" s="14"/>
      <c r="K129" s="352"/>
      <c r="L129" s="14"/>
      <c r="M129" s="352"/>
      <c r="N129" s="14"/>
      <c r="O129" s="352"/>
    </row>
    <row r="130" spans="1:15" ht="17.100000000000001" customHeight="1" x14ac:dyDescent="0.2">
      <c r="A130" s="356"/>
      <c r="B130" s="19"/>
      <c r="C130" s="20"/>
      <c r="D130" s="15"/>
      <c r="E130" s="353"/>
      <c r="F130" s="15"/>
      <c r="G130" s="353"/>
      <c r="H130" s="15"/>
      <c r="I130" s="353"/>
      <c r="J130" s="15"/>
      <c r="K130" s="353"/>
      <c r="L130" s="15"/>
      <c r="M130" s="353"/>
      <c r="N130" s="15"/>
      <c r="O130" s="353"/>
    </row>
    <row r="131" spans="1:15" ht="17.100000000000001" customHeight="1" thickBot="1" x14ac:dyDescent="0.25">
      <c r="A131" s="357"/>
      <c r="B131" s="21"/>
      <c r="C131" s="22"/>
      <c r="D131" s="9"/>
      <c r="E131" s="354"/>
      <c r="F131" s="9"/>
      <c r="G131" s="354"/>
      <c r="H131" s="9"/>
      <c r="I131" s="354"/>
      <c r="J131" s="9"/>
      <c r="K131" s="354"/>
      <c r="L131" s="9"/>
      <c r="M131" s="354"/>
      <c r="N131" s="9"/>
      <c r="O131" s="354"/>
    </row>
    <row r="132" spans="1:15" ht="17.100000000000001" customHeight="1" x14ac:dyDescent="0.2">
      <c r="A132" s="355" t="s">
        <v>11</v>
      </c>
      <c r="B132" s="17"/>
      <c r="C132" s="18"/>
      <c r="D132" s="14"/>
      <c r="E132" s="352"/>
      <c r="F132" s="14"/>
      <c r="G132" s="352"/>
      <c r="H132" s="14"/>
      <c r="I132" s="352"/>
      <c r="J132" s="14"/>
      <c r="K132" s="352"/>
      <c r="L132" s="14"/>
      <c r="M132" s="352"/>
      <c r="N132" s="14"/>
      <c r="O132" s="352"/>
    </row>
    <row r="133" spans="1:15" ht="17.100000000000001" customHeight="1" x14ac:dyDescent="0.2">
      <c r="A133" s="356"/>
      <c r="B133" s="19"/>
      <c r="C133" s="20"/>
      <c r="D133" s="15"/>
      <c r="E133" s="353"/>
      <c r="F133" s="15"/>
      <c r="G133" s="353"/>
      <c r="H133" s="15"/>
      <c r="I133" s="353"/>
      <c r="J133" s="15"/>
      <c r="K133" s="353"/>
      <c r="L133" s="15"/>
      <c r="M133" s="353"/>
      <c r="N133" s="15"/>
      <c r="O133" s="353"/>
    </row>
    <row r="134" spans="1:15" ht="17.100000000000001" customHeight="1" thickBot="1" x14ac:dyDescent="0.25">
      <c r="A134" s="357"/>
      <c r="B134" s="21"/>
      <c r="C134" s="22"/>
      <c r="D134" s="9"/>
      <c r="E134" s="354"/>
      <c r="F134" s="9"/>
      <c r="G134" s="354"/>
      <c r="H134" s="9"/>
      <c r="I134" s="354"/>
      <c r="J134" s="9"/>
      <c r="K134" s="354"/>
      <c r="L134" s="9"/>
      <c r="M134" s="354"/>
      <c r="N134" s="9"/>
      <c r="O134" s="354"/>
    </row>
    <row r="135" spans="1:15" ht="27.75" customHeight="1" thickBot="1" x14ac:dyDescent="0.25">
      <c r="B135" s="11"/>
      <c r="C135" s="26"/>
      <c r="D135" s="16"/>
      <c r="E135" s="12"/>
      <c r="F135" s="16"/>
      <c r="G135" s="12"/>
      <c r="H135" s="16"/>
      <c r="I135" s="12"/>
      <c r="J135" s="16"/>
      <c r="K135" s="12"/>
      <c r="L135" s="16"/>
      <c r="M135" s="12"/>
      <c r="N135" s="16"/>
      <c r="O135" s="12"/>
    </row>
    <row r="136" spans="1:15" ht="24" customHeight="1" thickBot="1" x14ac:dyDescent="0.25">
      <c r="B136" s="8"/>
      <c r="C136" s="1"/>
      <c r="D136" s="1"/>
      <c r="E136" s="23"/>
      <c r="F136" s="1"/>
      <c r="G136" s="23"/>
      <c r="H136" s="1"/>
      <c r="I136" s="23"/>
      <c r="J136" s="1"/>
      <c r="K136" s="23"/>
      <c r="L136" s="1"/>
      <c r="M136" s="23"/>
      <c r="N136" s="1"/>
      <c r="O136" s="23"/>
    </row>
    <row r="137" spans="1:15" ht="11.25" customHeight="1" x14ac:dyDescent="0.2">
      <c r="B137" s="1"/>
      <c r="C137" s="1"/>
      <c r="D137" s="1"/>
      <c r="E137" s="2"/>
      <c r="F137" s="1"/>
      <c r="G137" s="2"/>
      <c r="H137" s="1"/>
      <c r="I137" s="2"/>
      <c r="J137" s="1"/>
      <c r="K137" s="2"/>
      <c r="L137" s="1"/>
      <c r="M137" s="2"/>
      <c r="N137" s="1"/>
      <c r="O137" s="2"/>
    </row>
    <row r="138" spans="1:15" ht="12.75" customHeight="1" x14ac:dyDescent="0.2">
      <c r="B138" s="13" t="s">
        <v>1789</v>
      </c>
      <c r="C138" s="5" t="s">
        <v>1790</v>
      </c>
      <c r="D138" s="350">
        <f>VLOOKUP(B118,Schlüssel!$A$5:$K$10,3)</f>
        <v>6</v>
      </c>
      <c r="E138" s="350"/>
      <c r="F138" s="350">
        <f>VLOOKUP(B118,Schlüssel!$A$5:$K$10,4)</f>
        <v>4</v>
      </c>
      <c r="G138" s="350"/>
      <c r="H138" s="350">
        <f>VLOOKUP(B118,Schlüssel!$A$5:$K$10,5)</f>
        <v>2</v>
      </c>
      <c r="I138" s="350"/>
      <c r="J138" s="350">
        <f>VLOOKUP(B118,Schlüssel!$A$5:$K$10,6)</f>
        <v>3</v>
      </c>
      <c r="K138" s="350"/>
      <c r="L138" s="350">
        <f>VLOOKUP(B118,Schlüssel!$A$5:$K$10,7)</f>
        <v>1</v>
      </c>
      <c r="M138" s="350"/>
      <c r="N138" s="351"/>
      <c r="O138" s="351"/>
    </row>
    <row r="139" spans="1:15" ht="28.5" customHeight="1" x14ac:dyDescent="0.2">
      <c r="B139" s="4"/>
      <c r="C139" s="1"/>
      <c r="D139" s="347" t="str">
        <f>VLOOKUP(D138,Schlüssel!$A$5:$K$10,2)</f>
        <v>Adler Nürnberg 1</v>
      </c>
      <c r="E139" s="348"/>
      <c r="F139" s="347" t="str">
        <f>VLOOKUP(F138,Schlüssel!$A$5:$K$10,2)</f>
        <v>Kings Club Bayreuth Land 3</v>
      </c>
      <c r="G139" s="348"/>
      <c r="H139" s="347" t="str">
        <f>VLOOKUP(H138,Schlüssel!$A$5:$K$10,2)</f>
        <v>Herzogenaurach 1</v>
      </c>
      <c r="I139" s="348"/>
      <c r="J139" s="347" t="str">
        <f>VLOOKUP(J138,Schlüssel!$A$5:$K$10,2)</f>
        <v>Kings Club Bayreuth Land 2</v>
      </c>
      <c r="K139" s="348"/>
      <c r="L139" s="347" t="str">
        <f>VLOOKUP(L138,Schlüssel!$A$5:$K$10,2)</f>
        <v>Castra Regina Regensburg 3</v>
      </c>
      <c r="M139" s="348"/>
      <c r="N139" s="349"/>
      <c r="O139" s="349"/>
    </row>
    <row r="140" spans="1:15" ht="12" customHeight="1" x14ac:dyDescent="0.2">
      <c r="B140" s="4"/>
      <c r="C140" s="1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10"/>
      <c r="O140" s="310"/>
    </row>
    <row r="141" spans="1:15" ht="15.95" customHeight="1" x14ac:dyDescent="0.2">
      <c r="B141" s="35" t="s">
        <v>0</v>
      </c>
      <c r="C141" s="36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5"/>
      <c r="O141" s="345"/>
    </row>
    <row r="142" spans="1:15" ht="15.95" customHeight="1" x14ac:dyDescent="0.2">
      <c r="B142" s="35" t="s">
        <v>2</v>
      </c>
      <c r="C142" s="36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5"/>
      <c r="O142" s="345"/>
    </row>
    <row r="143" spans="1:15" ht="15.95" customHeight="1" x14ac:dyDescent="0.2">
      <c r="B143" s="35" t="s">
        <v>3</v>
      </c>
      <c r="C143" s="36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5"/>
      <c r="O143" s="345"/>
    </row>
    <row r="144" spans="1:15" ht="15.95" customHeight="1" x14ac:dyDescent="0.2">
      <c r="B144" s="35" t="s">
        <v>11</v>
      </c>
      <c r="C144" s="36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5"/>
      <c r="O144" s="345"/>
    </row>
    <row r="145" spans="1:29" ht="15.95" customHeight="1" x14ac:dyDescent="0.2">
      <c r="B145" s="37" t="s">
        <v>1791</v>
      </c>
      <c r="C145" s="38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298"/>
      <c r="O145" s="298"/>
    </row>
    <row r="146" spans="1:29" ht="21" customHeight="1" x14ac:dyDescent="0.35">
      <c r="B146" s="7" t="s">
        <v>1801</v>
      </c>
      <c r="C146" s="30" t="s">
        <v>1785</v>
      </c>
      <c r="D146" s="77" t="str">
        <f>Schlüssel!$C$1</f>
        <v>Bezirksliga N1 Männer</v>
      </c>
      <c r="F146" s="25"/>
      <c r="G146" s="25"/>
      <c r="H146" s="25"/>
      <c r="I146" s="25"/>
      <c r="K146" s="29"/>
      <c r="L146" s="358" t="str">
        <f>Schlüssel!$M$1</f>
        <v>13.10.</v>
      </c>
      <c r="M146" s="358"/>
      <c r="N146" s="358"/>
      <c r="AC146" s="90"/>
    </row>
    <row r="147" spans="1:29" ht="17.25" customHeight="1" thickBot="1" x14ac:dyDescent="0.3">
      <c r="A147" s="49"/>
      <c r="B147" s="50">
        <f>+B118+1</f>
        <v>6</v>
      </c>
      <c r="C147" s="30" t="s">
        <v>1786</v>
      </c>
      <c r="D147" s="84" t="str">
        <f>Schlüssel!$C$2</f>
        <v>Nürnberg West Bowling</v>
      </c>
      <c r="F147" s="77"/>
      <c r="G147" s="77"/>
      <c r="H147" s="77"/>
      <c r="I147" s="77"/>
      <c r="K147" s="77"/>
      <c r="L147" s="29" t="s">
        <v>1784</v>
      </c>
      <c r="M147" s="34">
        <v>1</v>
      </c>
      <c r="N147" s="28"/>
      <c r="AC147" s="91"/>
    </row>
    <row r="148" spans="1:29" ht="15.75" customHeight="1" thickBot="1" x14ac:dyDescent="0.25">
      <c r="B148" s="32" t="str">
        <f>VLOOKUP(B147,Schlüssel!$A$5:$B$10,2)</f>
        <v>Adler Nürnberg 1</v>
      </c>
      <c r="C148" s="31"/>
      <c r="D148" s="42"/>
      <c r="E148" s="46"/>
      <c r="F148" s="48"/>
      <c r="G148" s="27"/>
      <c r="H148" s="27"/>
      <c r="I148" s="27"/>
      <c r="J148" s="27"/>
      <c r="K148" s="27"/>
      <c r="L148" s="27"/>
      <c r="M148" s="27"/>
    </row>
    <row r="149" spans="1:29" ht="13.5" thickBot="1" x14ac:dyDescent="0.25">
      <c r="A149" s="6"/>
      <c r="B149" s="7"/>
      <c r="C149" s="39"/>
      <c r="D149" s="43" t="s">
        <v>10</v>
      </c>
      <c r="E149" s="7">
        <f>VLOOKUP(B147,Schlüssel!$A$5:$DZ$10,13)</f>
        <v>6</v>
      </c>
      <c r="F149" s="47" t="s">
        <v>10</v>
      </c>
      <c r="G149" s="7">
        <f>VLOOKUP(B147,Schlüssel!$A$5:$DZ$10,14)</f>
        <v>4</v>
      </c>
      <c r="H149" s="47" t="s">
        <v>10</v>
      </c>
      <c r="I149" s="7">
        <f>VLOOKUP(B147,Schlüssel!$A$5:$DZ$10,15)</f>
        <v>5</v>
      </c>
      <c r="J149" s="47" t="s">
        <v>10</v>
      </c>
      <c r="K149" s="7">
        <f>VLOOKUP(B147,Schlüssel!$A$5:$DZ$10,16)</f>
        <v>2</v>
      </c>
      <c r="L149" s="47" t="s">
        <v>10</v>
      </c>
      <c r="M149" s="67">
        <f>VLOOKUP(B147,Schlüssel!$A$5:$DZ$10,17)</f>
        <v>3</v>
      </c>
    </row>
    <row r="150" spans="1:29" ht="20.25" customHeight="1" x14ac:dyDescent="0.2">
      <c r="B150" s="40" t="s">
        <v>1</v>
      </c>
      <c r="C150" s="41"/>
      <c r="D150" s="359" t="s">
        <v>1792</v>
      </c>
      <c r="E150" s="360"/>
      <c r="F150" s="359" t="s">
        <v>1793</v>
      </c>
      <c r="G150" s="360"/>
      <c r="H150" s="359" t="s">
        <v>1794</v>
      </c>
      <c r="I150" s="360"/>
      <c r="J150" s="359" t="s">
        <v>1795</v>
      </c>
      <c r="K150" s="360"/>
      <c r="L150" s="359" t="s">
        <v>1796</v>
      </c>
      <c r="M150" s="360"/>
      <c r="N150" s="361" t="s">
        <v>1791</v>
      </c>
      <c r="O150" s="362"/>
    </row>
    <row r="151" spans="1:29" ht="15" customHeight="1" thickBot="1" x14ac:dyDescent="0.25">
      <c r="B151" s="9" t="s">
        <v>1797</v>
      </c>
      <c r="C151" s="44" t="s">
        <v>1798</v>
      </c>
      <c r="D151" s="45" t="s">
        <v>1799</v>
      </c>
      <c r="E151" s="45" t="s">
        <v>1800</v>
      </c>
      <c r="F151" s="45" t="s">
        <v>1799</v>
      </c>
      <c r="G151" s="45" t="s">
        <v>1800</v>
      </c>
      <c r="H151" s="45" t="s">
        <v>1799</v>
      </c>
      <c r="I151" s="45" t="s">
        <v>1800</v>
      </c>
      <c r="J151" s="45" t="s">
        <v>1799</v>
      </c>
      <c r="K151" s="45" t="s">
        <v>1800</v>
      </c>
      <c r="L151" s="45" t="s">
        <v>1799</v>
      </c>
      <c r="M151" s="45" t="s">
        <v>1800</v>
      </c>
      <c r="N151" s="45" t="s">
        <v>1799</v>
      </c>
      <c r="O151" s="10" t="s">
        <v>1800</v>
      </c>
    </row>
    <row r="152" spans="1:29" ht="17.100000000000001" customHeight="1" x14ac:dyDescent="0.2">
      <c r="A152" s="355" t="s">
        <v>0</v>
      </c>
      <c r="B152" s="17"/>
      <c r="C152" s="18"/>
      <c r="D152" s="14"/>
      <c r="E152" s="352"/>
      <c r="F152" s="14"/>
      <c r="G152" s="352"/>
      <c r="H152" s="14"/>
      <c r="I152" s="352"/>
      <c r="J152" s="14"/>
      <c r="K152" s="352"/>
      <c r="L152" s="14"/>
      <c r="M152" s="352"/>
      <c r="N152" s="14"/>
      <c r="O152" s="352"/>
    </row>
    <row r="153" spans="1:29" ht="17.100000000000001" customHeight="1" x14ac:dyDescent="0.2">
      <c r="A153" s="356"/>
      <c r="B153" s="19"/>
      <c r="C153" s="20"/>
      <c r="D153" s="15"/>
      <c r="E153" s="353"/>
      <c r="F153" s="15"/>
      <c r="G153" s="353"/>
      <c r="H153" s="15"/>
      <c r="I153" s="353"/>
      <c r="J153" s="15"/>
      <c r="K153" s="353"/>
      <c r="L153" s="15"/>
      <c r="M153" s="353"/>
      <c r="N153" s="15"/>
      <c r="O153" s="353"/>
    </row>
    <row r="154" spans="1:29" ht="17.100000000000001" customHeight="1" thickBot="1" x14ac:dyDescent="0.25">
      <c r="A154" s="357"/>
      <c r="B154" s="21"/>
      <c r="C154" s="22"/>
      <c r="D154" s="9"/>
      <c r="E154" s="354"/>
      <c r="F154" s="9"/>
      <c r="G154" s="354"/>
      <c r="H154" s="9"/>
      <c r="I154" s="354"/>
      <c r="J154" s="9"/>
      <c r="K154" s="354"/>
      <c r="L154" s="9"/>
      <c r="M154" s="354"/>
      <c r="N154" s="9"/>
      <c r="O154" s="354"/>
    </row>
    <row r="155" spans="1:29" ht="17.100000000000001" customHeight="1" x14ac:dyDescent="0.2">
      <c r="A155" s="355" t="s">
        <v>2</v>
      </c>
      <c r="B155" s="17"/>
      <c r="C155" s="18"/>
      <c r="D155" s="14"/>
      <c r="E155" s="352"/>
      <c r="F155" s="14"/>
      <c r="G155" s="352"/>
      <c r="H155" s="14"/>
      <c r="I155" s="352"/>
      <c r="J155" s="14"/>
      <c r="K155" s="352"/>
      <c r="L155" s="14"/>
      <c r="M155" s="352"/>
      <c r="N155" s="14"/>
      <c r="O155" s="352"/>
    </row>
    <row r="156" spans="1:29" ht="17.100000000000001" customHeight="1" x14ac:dyDescent="0.2">
      <c r="A156" s="356"/>
      <c r="B156" s="19"/>
      <c r="C156" s="20"/>
      <c r="D156" s="15"/>
      <c r="E156" s="353"/>
      <c r="F156" s="15"/>
      <c r="G156" s="353"/>
      <c r="H156" s="15"/>
      <c r="I156" s="353"/>
      <c r="J156" s="15"/>
      <c r="K156" s="353"/>
      <c r="L156" s="15"/>
      <c r="M156" s="353"/>
      <c r="N156" s="15"/>
      <c r="O156" s="353"/>
    </row>
    <row r="157" spans="1:29" ht="17.100000000000001" customHeight="1" thickBot="1" x14ac:dyDescent="0.25">
      <c r="A157" s="357"/>
      <c r="B157" s="21"/>
      <c r="C157" s="22"/>
      <c r="D157" s="9"/>
      <c r="E157" s="354"/>
      <c r="F157" s="9"/>
      <c r="G157" s="354"/>
      <c r="H157" s="9"/>
      <c r="I157" s="354"/>
      <c r="J157" s="9"/>
      <c r="K157" s="354"/>
      <c r="L157" s="9"/>
      <c r="M157" s="354"/>
      <c r="N157" s="9"/>
      <c r="O157" s="354"/>
    </row>
    <row r="158" spans="1:29" ht="17.100000000000001" customHeight="1" x14ac:dyDescent="0.2">
      <c r="A158" s="355" t="s">
        <v>3</v>
      </c>
      <c r="B158" s="17"/>
      <c r="C158" s="18"/>
      <c r="D158" s="14"/>
      <c r="E158" s="352"/>
      <c r="F158" s="14"/>
      <c r="G158" s="352"/>
      <c r="H158" s="14"/>
      <c r="I158" s="352"/>
      <c r="J158" s="14"/>
      <c r="K158" s="352"/>
      <c r="L158" s="14"/>
      <c r="M158" s="352"/>
      <c r="N158" s="14"/>
      <c r="O158" s="352"/>
    </row>
    <row r="159" spans="1:29" ht="17.100000000000001" customHeight="1" x14ac:dyDescent="0.2">
      <c r="A159" s="356"/>
      <c r="B159" s="19"/>
      <c r="C159" s="20"/>
      <c r="D159" s="15"/>
      <c r="E159" s="353"/>
      <c r="F159" s="15"/>
      <c r="G159" s="353"/>
      <c r="H159" s="15"/>
      <c r="I159" s="353"/>
      <c r="J159" s="15"/>
      <c r="K159" s="353"/>
      <c r="L159" s="15"/>
      <c r="M159" s="353"/>
      <c r="N159" s="15"/>
      <c r="O159" s="353"/>
    </row>
    <row r="160" spans="1:29" ht="17.100000000000001" customHeight="1" thickBot="1" x14ac:dyDescent="0.25">
      <c r="A160" s="357"/>
      <c r="B160" s="21"/>
      <c r="C160" s="22"/>
      <c r="D160" s="9"/>
      <c r="E160" s="354"/>
      <c r="F160" s="9"/>
      <c r="G160" s="354"/>
      <c r="H160" s="9"/>
      <c r="I160" s="354"/>
      <c r="J160" s="9"/>
      <c r="K160" s="354"/>
      <c r="L160" s="9"/>
      <c r="M160" s="354"/>
      <c r="N160" s="9"/>
      <c r="O160" s="354"/>
    </row>
    <row r="161" spans="1:15" ht="17.100000000000001" customHeight="1" x14ac:dyDescent="0.2">
      <c r="A161" s="355" t="s">
        <v>11</v>
      </c>
      <c r="B161" s="17"/>
      <c r="C161" s="18"/>
      <c r="D161" s="14"/>
      <c r="E161" s="352"/>
      <c r="F161" s="14"/>
      <c r="G161" s="352"/>
      <c r="H161" s="14"/>
      <c r="I161" s="352"/>
      <c r="J161" s="14"/>
      <c r="K161" s="352"/>
      <c r="L161" s="14"/>
      <c r="M161" s="352"/>
      <c r="N161" s="14"/>
      <c r="O161" s="352"/>
    </row>
    <row r="162" spans="1:15" ht="17.100000000000001" customHeight="1" x14ac:dyDescent="0.2">
      <c r="A162" s="356"/>
      <c r="B162" s="19"/>
      <c r="C162" s="20"/>
      <c r="D162" s="15"/>
      <c r="E162" s="353"/>
      <c r="F162" s="15"/>
      <c r="G162" s="353"/>
      <c r="H162" s="15"/>
      <c r="I162" s="353"/>
      <c r="J162" s="15"/>
      <c r="K162" s="353"/>
      <c r="L162" s="15"/>
      <c r="M162" s="353"/>
      <c r="N162" s="15"/>
      <c r="O162" s="353"/>
    </row>
    <row r="163" spans="1:15" ht="17.100000000000001" customHeight="1" thickBot="1" x14ac:dyDescent="0.25">
      <c r="A163" s="357"/>
      <c r="B163" s="21"/>
      <c r="C163" s="22"/>
      <c r="D163" s="9"/>
      <c r="E163" s="354"/>
      <c r="F163" s="9"/>
      <c r="G163" s="354"/>
      <c r="H163" s="9"/>
      <c r="I163" s="354"/>
      <c r="J163" s="9"/>
      <c r="K163" s="354"/>
      <c r="L163" s="9"/>
      <c r="M163" s="354"/>
      <c r="N163" s="9"/>
      <c r="O163" s="354"/>
    </row>
    <row r="164" spans="1:15" ht="27.75" customHeight="1" thickBot="1" x14ac:dyDescent="0.25">
      <c r="B164" s="11"/>
      <c r="C164" s="26"/>
      <c r="D164" s="16"/>
      <c r="E164" s="12"/>
      <c r="F164" s="16"/>
      <c r="G164" s="12"/>
      <c r="H164" s="16"/>
      <c r="I164" s="12"/>
      <c r="J164" s="16"/>
      <c r="K164" s="12"/>
      <c r="L164" s="16"/>
      <c r="M164" s="12"/>
      <c r="N164" s="16"/>
      <c r="O164" s="12"/>
    </row>
    <row r="165" spans="1:15" ht="24" customHeight="1" thickBot="1" x14ac:dyDescent="0.25">
      <c r="B165" s="8"/>
      <c r="C165" s="1"/>
      <c r="D165" s="1"/>
      <c r="E165" s="23"/>
      <c r="F165" s="1"/>
      <c r="G165" s="23"/>
      <c r="H165" s="1"/>
      <c r="I165" s="23"/>
      <c r="J165" s="1"/>
      <c r="K165" s="23"/>
      <c r="L165" s="1"/>
      <c r="M165" s="23"/>
      <c r="N165" s="1"/>
      <c r="O165" s="23"/>
    </row>
    <row r="166" spans="1:15" ht="11.25" customHeight="1" x14ac:dyDescent="0.2">
      <c r="B166" s="1"/>
      <c r="C166" s="1"/>
      <c r="D166" s="1"/>
      <c r="E166" s="2"/>
      <c r="F166" s="1"/>
      <c r="G166" s="2"/>
      <c r="H166" s="1"/>
      <c r="I166" s="2"/>
      <c r="J166" s="1"/>
      <c r="K166" s="2"/>
      <c r="L166" s="1"/>
      <c r="M166" s="2"/>
      <c r="N166" s="1"/>
      <c r="O166" s="2"/>
    </row>
    <row r="167" spans="1:15" ht="12.75" customHeight="1" x14ac:dyDescent="0.2">
      <c r="B167" s="13" t="s">
        <v>1789</v>
      </c>
      <c r="C167" s="5" t="s">
        <v>1790</v>
      </c>
      <c r="D167" s="350">
        <f>VLOOKUP(B147,Schlüssel!$A$5:$K$10,3)</f>
        <v>5</v>
      </c>
      <c r="E167" s="350"/>
      <c r="F167" s="350">
        <f>VLOOKUP(B147,Schlüssel!$A$5:$K$10,4)</f>
        <v>1</v>
      </c>
      <c r="G167" s="350"/>
      <c r="H167" s="350">
        <f>VLOOKUP(B147,Schlüssel!$A$5:$K$10,5)</f>
        <v>4</v>
      </c>
      <c r="I167" s="350"/>
      <c r="J167" s="350">
        <f>VLOOKUP(B147,Schlüssel!$A$5:$K$10,6)</f>
        <v>2</v>
      </c>
      <c r="K167" s="350"/>
      <c r="L167" s="350">
        <f>VLOOKUP(B147,Schlüssel!$A$5:$K$10,7)</f>
        <v>3</v>
      </c>
      <c r="M167" s="350"/>
      <c r="N167" s="351"/>
      <c r="O167" s="351"/>
    </row>
    <row r="168" spans="1:15" ht="28.5" customHeight="1" x14ac:dyDescent="0.2">
      <c r="B168" s="4"/>
      <c r="C168" s="1"/>
      <c r="D168" s="347" t="str">
        <f>VLOOKUP(D167,Schlüssel!$A$5:$K$10,2)</f>
        <v>Castra Regina Regensburg 2</v>
      </c>
      <c r="E168" s="348"/>
      <c r="F168" s="347" t="str">
        <f>VLOOKUP(F167,Schlüssel!$A$5:$K$10,2)</f>
        <v>Castra Regina Regensburg 3</v>
      </c>
      <c r="G168" s="348"/>
      <c r="H168" s="347" t="str">
        <f>VLOOKUP(H167,Schlüssel!$A$5:$K$10,2)</f>
        <v>Kings Club Bayreuth Land 3</v>
      </c>
      <c r="I168" s="348"/>
      <c r="J168" s="347" t="str">
        <f>VLOOKUP(J167,Schlüssel!$A$5:$K$10,2)</f>
        <v>Herzogenaurach 1</v>
      </c>
      <c r="K168" s="348"/>
      <c r="L168" s="347" t="str">
        <f>VLOOKUP(L167,Schlüssel!$A$5:$K$10,2)</f>
        <v>Kings Club Bayreuth Land 2</v>
      </c>
      <c r="M168" s="348"/>
      <c r="N168" s="349"/>
      <c r="O168" s="349"/>
    </row>
    <row r="169" spans="1:15" ht="12" customHeight="1" x14ac:dyDescent="0.2">
      <c r="B169" s="4"/>
      <c r="C169" s="1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10"/>
      <c r="O169" s="310"/>
    </row>
    <row r="170" spans="1:15" ht="15.95" customHeight="1" x14ac:dyDescent="0.2">
      <c r="B170" s="35" t="s">
        <v>0</v>
      </c>
      <c r="C170" s="36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5"/>
      <c r="O170" s="345"/>
    </row>
    <row r="171" spans="1:15" ht="15.95" customHeight="1" x14ac:dyDescent="0.2">
      <c r="B171" s="35" t="s">
        <v>2</v>
      </c>
      <c r="C171" s="36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5"/>
      <c r="O171" s="345"/>
    </row>
    <row r="172" spans="1:15" ht="15.95" customHeight="1" x14ac:dyDescent="0.2">
      <c r="B172" s="35" t="s">
        <v>3</v>
      </c>
      <c r="C172" s="36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5"/>
      <c r="O172" s="345"/>
    </row>
    <row r="173" spans="1:15" ht="15.95" customHeight="1" x14ac:dyDescent="0.2">
      <c r="B173" s="35" t="s">
        <v>11</v>
      </c>
      <c r="C173" s="36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5"/>
      <c r="O173" s="345"/>
    </row>
    <row r="174" spans="1:15" ht="15.95" customHeight="1" x14ac:dyDescent="0.2">
      <c r="B174" s="37" t="s">
        <v>1791</v>
      </c>
      <c r="C174" s="38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298"/>
      <c r="O174" s="298"/>
    </row>
  </sheetData>
  <sheetProtection password="D19C" sheet="1" formatCells="0" formatColumns="0" formatRows="0"/>
  <mergeCells count="498">
    <mergeCell ref="D5:E5"/>
    <mergeCell ref="F5:G5"/>
    <mergeCell ref="H5:I5"/>
    <mergeCell ref="J5:K5"/>
    <mergeCell ref="L5:M5"/>
    <mergeCell ref="M13:M15"/>
    <mergeCell ref="O13:O15"/>
    <mergeCell ref="O10:O12"/>
    <mergeCell ref="A13:A15"/>
    <mergeCell ref="E13:E15"/>
    <mergeCell ref="G13:G15"/>
    <mergeCell ref="I13:I15"/>
    <mergeCell ref="K13:K15"/>
    <mergeCell ref="O7:O9"/>
    <mergeCell ref="A10:A12"/>
    <mergeCell ref="E10:E12"/>
    <mergeCell ref="G10:G12"/>
    <mergeCell ref="I10:I12"/>
    <mergeCell ref="K10:K12"/>
    <mergeCell ref="M10:M12"/>
    <mergeCell ref="N5:O5"/>
    <mergeCell ref="A7:A9"/>
    <mergeCell ref="E7:E9"/>
    <mergeCell ref="G7:G9"/>
    <mergeCell ref="I7:I9"/>
    <mergeCell ref="K7:K9"/>
    <mergeCell ref="M7:M9"/>
    <mergeCell ref="O16:O18"/>
    <mergeCell ref="D22:E22"/>
    <mergeCell ref="F22:G22"/>
    <mergeCell ref="H22:I22"/>
    <mergeCell ref="J22:K22"/>
    <mergeCell ref="L22:M22"/>
    <mergeCell ref="N22:O22"/>
    <mergeCell ref="A16:A18"/>
    <mergeCell ref="E16:E18"/>
    <mergeCell ref="G16:G18"/>
    <mergeCell ref="I16:I18"/>
    <mergeCell ref="K16:K18"/>
    <mergeCell ref="M16:M18"/>
    <mergeCell ref="N25:O25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F26:G26"/>
    <mergeCell ref="H26:I26"/>
    <mergeCell ref="J26:K26"/>
    <mergeCell ref="L26:M26"/>
    <mergeCell ref="F28:G28"/>
    <mergeCell ref="H28:I28"/>
    <mergeCell ref="J28:K28"/>
    <mergeCell ref="L28:M28"/>
    <mergeCell ref="D25:E25"/>
    <mergeCell ref="F25:G25"/>
    <mergeCell ref="H25:I25"/>
    <mergeCell ref="J25:K25"/>
    <mergeCell ref="L25:M25"/>
    <mergeCell ref="L30:N30"/>
    <mergeCell ref="D34:E34"/>
    <mergeCell ref="F34:G34"/>
    <mergeCell ref="H34:I34"/>
    <mergeCell ref="J34:K34"/>
    <mergeCell ref="L34:M34"/>
    <mergeCell ref="N34:O34"/>
    <mergeCell ref="L1:N1"/>
    <mergeCell ref="N29:O29"/>
    <mergeCell ref="N28:O28"/>
    <mergeCell ref="D29:E29"/>
    <mergeCell ref="F29:G29"/>
    <mergeCell ref="H29:I29"/>
    <mergeCell ref="J29:K29"/>
    <mergeCell ref="L29:M29"/>
    <mergeCell ref="N27:O27"/>
    <mergeCell ref="D28:E28"/>
    <mergeCell ref="N26:O26"/>
    <mergeCell ref="D27:E27"/>
    <mergeCell ref="F27:G27"/>
    <mergeCell ref="H27:I27"/>
    <mergeCell ref="J27:K27"/>
    <mergeCell ref="L27:M27"/>
    <mergeCell ref="D26:E26"/>
    <mergeCell ref="O36:O38"/>
    <mergeCell ref="A39:A41"/>
    <mergeCell ref="E39:E41"/>
    <mergeCell ref="G39:G41"/>
    <mergeCell ref="I39:I41"/>
    <mergeCell ref="K39:K41"/>
    <mergeCell ref="M39:M41"/>
    <mergeCell ref="O39:O41"/>
    <mergeCell ref="A36:A38"/>
    <mergeCell ref="E36:E38"/>
    <mergeCell ref="G36:G38"/>
    <mergeCell ref="I36:I38"/>
    <mergeCell ref="K36:K38"/>
    <mergeCell ref="M36:M38"/>
    <mergeCell ref="D51:E51"/>
    <mergeCell ref="F51:G51"/>
    <mergeCell ref="H51:I51"/>
    <mergeCell ref="J51:K51"/>
    <mergeCell ref="L51:M51"/>
    <mergeCell ref="N51:O51"/>
    <mergeCell ref="O42:O44"/>
    <mergeCell ref="A45:A47"/>
    <mergeCell ref="E45:E47"/>
    <mergeCell ref="G45:G47"/>
    <mergeCell ref="I45:I47"/>
    <mergeCell ref="K45:K47"/>
    <mergeCell ref="M45:M47"/>
    <mergeCell ref="O45:O47"/>
    <mergeCell ref="A42:A44"/>
    <mergeCell ref="E42:E44"/>
    <mergeCell ref="G42:G44"/>
    <mergeCell ref="I42:I44"/>
    <mergeCell ref="K42:K44"/>
    <mergeCell ref="M42:M44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D55:E55"/>
    <mergeCell ref="F55:G55"/>
    <mergeCell ref="H55:I55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57:E57"/>
    <mergeCell ref="F57:G57"/>
    <mergeCell ref="H57:I57"/>
    <mergeCell ref="J57:K57"/>
    <mergeCell ref="L57:M57"/>
    <mergeCell ref="N57:O57"/>
    <mergeCell ref="D56:E56"/>
    <mergeCell ref="F56:G56"/>
    <mergeCell ref="H56:I56"/>
    <mergeCell ref="J56:K56"/>
    <mergeCell ref="L56:M56"/>
    <mergeCell ref="N56:O56"/>
    <mergeCell ref="L59:N59"/>
    <mergeCell ref="D63:E63"/>
    <mergeCell ref="F63:G63"/>
    <mergeCell ref="H63:I63"/>
    <mergeCell ref="J63:K63"/>
    <mergeCell ref="L63:M63"/>
    <mergeCell ref="N63:O63"/>
    <mergeCell ref="D58:E58"/>
    <mergeCell ref="F58:G58"/>
    <mergeCell ref="H58:I58"/>
    <mergeCell ref="J58:K58"/>
    <mergeCell ref="L58:M58"/>
    <mergeCell ref="N58:O58"/>
    <mergeCell ref="O65:O67"/>
    <mergeCell ref="A68:A70"/>
    <mergeCell ref="E68:E70"/>
    <mergeCell ref="G68:G70"/>
    <mergeCell ref="I68:I70"/>
    <mergeCell ref="K68:K70"/>
    <mergeCell ref="M68:M70"/>
    <mergeCell ref="O68:O70"/>
    <mergeCell ref="A65:A67"/>
    <mergeCell ref="E65:E67"/>
    <mergeCell ref="G65:G67"/>
    <mergeCell ref="I65:I67"/>
    <mergeCell ref="K65:K67"/>
    <mergeCell ref="M65:M67"/>
    <mergeCell ref="D80:E80"/>
    <mergeCell ref="F80:G80"/>
    <mergeCell ref="H80:I80"/>
    <mergeCell ref="J80:K80"/>
    <mergeCell ref="L80:M80"/>
    <mergeCell ref="N80:O80"/>
    <mergeCell ref="O71:O73"/>
    <mergeCell ref="A74:A76"/>
    <mergeCell ref="E74:E76"/>
    <mergeCell ref="G74:G76"/>
    <mergeCell ref="I74:I76"/>
    <mergeCell ref="K74:K76"/>
    <mergeCell ref="M74:M76"/>
    <mergeCell ref="O74:O76"/>
    <mergeCell ref="A71:A73"/>
    <mergeCell ref="E71:E73"/>
    <mergeCell ref="G71:G73"/>
    <mergeCell ref="I71:I73"/>
    <mergeCell ref="K71:K73"/>
    <mergeCell ref="M71:M73"/>
    <mergeCell ref="D82:E82"/>
    <mergeCell ref="F82:G82"/>
    <mergeCell ref="H82:I82"/>
    <mergeCell ref="J82:K82"/>
    <mergeCell ref="L82:M82"/>
    <mergeCell ref="N82:O82"/>
    <mergeCell ref="D81:E81"/>
    <mergeCell ref="F81:G81"/>
    <mergeCell ref="H81:I81"/>
    <mergeCell ref="J81:K81"/>
    <mergeCell ref="L81:M81"/>
    <mergeCell ref="N81:O81"/>
    <mergeCell ref="D84:E84"/>
    <mergeCell ref="F84:G84"/>
    <mergeCell ref="H84:I84"/>
    <mergeCell ref="J84:K84"/>
    <mergeCell ref="L84:M84"/>
    <mergeCell ref="N84:O84"/>
    <mergeCell ref="D83:E83"/>
    <mergeCell ref="F83:G83"/>
    <mergeCell ref="H83:I83"/>
    <mergeCell ref="J83:K83"/>
    <mergeCell ref="L83:M83"/>
    <mergeCell ref="N83:O83"/>
    <mergeCell ref="D86:E86"/>
    <mergeCell ref="F86:G86"/>
    <mergeCell ref="H86:I86"/>
    <mergeCell ref="J86:K86"/>
    <mergeCell ref="L86:M86"/>
    <mergeCell ref="N86:O86"/>
    <mergeCell ref="D85:E85"/>
    <mergeCell ref="F85:G85"/>
    <mergeCell ref="H85:I85"/>
    <mergeCell ref="J85:K85"/>
    <mergeCell ref="L85:M85"/>
    <mergeCell ref="N85:O85"/>
    <mergeCell ref="L88:N88"/>
    <mergeCell ref="D92:E92"/>
    <mergeCell ref="F92:G92"/>
    <mergeCell ref="H92:I92"/>
    <mergeCell ref="J92:K92"/>
    <mergeCell ref="L92:M92"/>
    <mergeCell ref="N92:O92"/>
    <mergeCell ref="D87:E87"/>
    <mergeCell ref="F87:G87"/>
    <mergeCell ref="H87:I87"/>
    <mergeCell ref="J87:K87"/>
    <mergeCell ref="L87:M87"/>
    <mergeCell ref="N87:O87"/>
    <mergeCell ref="O94:O96"/>
    <mergeCell ref="A97:A99"/>
    <mergeCell ref="E97:E99"/>
    <mergeCell ref="G97:G99"/>
    <mergeCell ref="I97:I99"/>
    <mergeCell ref="K97:K99"/>
    <mergeCell ref="M97:M99"/>
    <mergeCell ref="O97:O99"/>
    <mergeCell ref="A94:A96"/>
    <mergeCell ref="E94:E96"/>
    <mergeCell ref="G94:G96"/>
    <mergeCell ref="I94:I96"/>
    <mergeCell ref="K94:K96"/>
    <mergeCell ref="M94:M96"/>
    <mergeCell ref="D109:E109"/>
    <mergeCell ref="F109:G109"/>
    <mergeCell ref="H109:I109"/>
    <mergeCell ref="J109:K109"/>
    <mergeCell ref="L109:M109"/>
    <mergeCell ref="N109:O109"/>
    <mergeCell ref="O100:O102"/>
    <mergeCell ref="A103:A105"/>
    <mergeCell ref="E103:E105"/>
    <mergeCell ref="G103:G105"/>
    <mergeCell ref="I103:I105"/>
    <mergeCell ref="K103:K105"/>
    <mergeCell ref="M103:M105"/>
    <mergeCell ref="O103:O105"/>
    <mergeCell ref="A100:A102"/>
    <mergeCell ref="E100:E102"/>
    <mergeCell ref="G100:G102"/>
    <mergeCell ref="I100:I102"/>
    <mergeCell ref="K100:K102"/>
    <mergeCell ref="M100:M102"/>
    <mergeCell ref="D111:E111"/>
    <mergeCell ref="F111:G111"/>
    <mergeCell ref="H111:I111"/>
    <mergeCell ref="J111:K111"/>
    <mergeCell ref="L111:M111"/>
    <mergeCell ref="N111:O111"/>
    <mergeCell ref="D110:E110"/>
    <mergeCell ref="F110:G110"/>
    <mergeCell ref="H110:I110"/>
    <mergeCell ref="J110:K110"/>
    <mergeCell ref="L110:M110"/>
    <mergeCell ref="N110:O110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L117:N117"/>
    <mergeCell ref="D121:E121"/>
    <mergeCell ref="F121:G121"/>
    <mergeCell ref="H121:I121"/>
    <mergeCell ref="J121:K121"/>
    <mergeCell ref="L121:M121"/>
    <mergeCell ref="N121:O121"/>
    <mergeCell ref="D116:E116"/>
    <mergeCell ref="F116:G116"/>
    <mergeCell ref="H116:I116"/>
    <mergeCell ref="J116:K116"/>
    <mergeCell ref="L116:M116"/>
    <mergeCell ref="N116:O116"/>
    <mergeCell ref="O123:O125"/>
    <mergeCell ref="A126:A128"/>
    <mergeCell ref="E126:E128"/>
    <mergeCell ref="G126:G128"/>
    <mergeCell ref="I126:I128"/>
    <mergeCell ref="K126:K128"/>
    <mergeCell ref="M126:M128"/>
    <mergeCell ref="O126:O128"/>
    <mergeCell ref="A123:A125"/>
    <mergeCell ref="E123:E125"/>
    <mergeCell ref="G123:G125"/>
    <mergeCell ref="I123:I125"/>
    <mergeCell ref="K123:K125"/>
    <mergeCell ref="M123:M125"/>
    <mergeCell ref="D138:E138"/>
    <mergeCell ref="F138:G138"/>
    <mergeCell ref="H138:I138"/>
    <mergeCell ref="J138:K138"/>
    <mergeCell ref="L138:M138"/>
    <mergeCell ref="N138:O138"/>
    <mergeCell ref="O129:O131"/>
    <mergeCell ref="A132:A134"/>
    <mergeCell ref="E132:E134"/>
    <mergeCell ref="G132:G134"/>
    <mergeCell ref="I132:I134"/>
    <mergeCell ref="K132:K134"/>
    <mergeCell ref="M132:M134"/>
    <mergeCell ref="O132:O134"/>
    <mergeCell ref="A129:A131"/>
    <mergeCell ref="E129:E131"/>
    <mergeCell ref="G129:G131"/>
    <mergeCell ref="I129:I131"/>
    <mergeCell ref="K129:K131"/>
    <mergeCell ref="M129:M131"/>
    <mergeCell ref="D140:E140"/>
    <mergeCell ref="F140:G140"/>
    <mergeCell ref="H140:I140"/>
    <mergeCell ref="J140:K140"/>
    <mergeCell ref="L140:M140"/>
    <mergeCell ref="N140:O140"/>
    <mergeCell ref="D139:E139"/>
    <mergeCell ref="F139:G139"/>
    <mergeCell ref="H139:I139"/>
    <mergeCell ref="J139:K139"/>
    <mergeCell ref="L139:M139"/>
    <mergeCell ref="N139:O139"/>
    <mergeCell ref="D142:E142"/>
    <mergeCell ref="F142:G142"/>
    <mergeCell ref="H142:I142"/>
    <mergeCell ref="J142:K142"/>
    <mergeCell ref="L142:M142"/>
    <mergeCell ref="N142:O142"/>
    <mergeCell ref="D141:E141"/>
    <mergeCell ref="F141:G141"/>
    <mergeCell ref="H141:I141"/>
    <mergeCell ref="J141:K141"/>
    <mergeCell ref="L141:M141"/>
    <mergeCell ref="N141:O141"/>
    <mergeCell ref="D144:E144"/>
    <mergeCell ref="F144:G144"/>
    <mergeCell ref="H144:I144"/>
    <mergeCell ref="J144:K144"/>
    <mergeCell ref="L144:M144"/>
    <mergeCell ref="N144:O144"/>
    <mergeCell ref="D143:E143"/>
    <mergeCell ref="F143:G143"/>
    <mergeCell ref="H143:I143"/>
    <mergeCell ref="J143:K143"/>
    <mergeCell ref="L143:M143"/>
    <mergeCell ref="N143:O143"/>
    <mergeCell ref="L146:N146"/>
    <mergeCell ref="D150:E150"/>
    <mergeCell ref="F150:G150"/>
    <mergeCell ref="H150:I150"/>
    <mergeCell ref="J150:K150"/>
    <mergeCell ref="L150:M150"/>
    <mergeCell ref="N150:O150"/>
    <mergeCell ref="D145:E145"/>
    <mergeCell ref="F145:G145"/>
    <mergeCell ref="H145:I145"/>
    <mergeCell ref="J145:K145"/>
    <mergeCell ref="L145:M145"/>
    <mergeCell ref="N145:O145"/>
    <mergeCell ref="O152:O154"/>
    <mergeCell ref="A155:A157"/>
    <mergeCell ref="E155:E157"/>
    <mergeCell ref="G155:G157"/>
    <mergeCell ref="I155:I157"/>
    <mergeCell ref="K155:K157"/>
    <mergeCell ref="M155:M157"/>
    <mergeCell ref="O155:O157"/>
    <mergeCell ref="A152:A154"/>
    <mergeCell ref="E152:E154"/>
    <mergeCell ref="G152:G154"/>
    <mergeCell ref="I152:I154"/>
    <mergeCell ref="K152:K154"/>
    <mergeCell ref="M152:M154"/>
    <mergeCell ref="O158:O160"/>
    <mergeCell ref="A161:A163"/>
    <mergeCell ref="E161:E163"/>
    <mergeCell ref="G161:G163"/>
    <mergeCell ref="I161:I163"/>
    <mergeCell ref="K161:K163"/>
    <mergeCell ref="M161:M163"/>
    <mergeCell ref="O161:O163"/>
    <mergeCell ref="A158:A160"/>
    <mergeCell ref="E158:E160"/>
    <mergeCell ref="G158:G160"/>
    <mergeCell ref="I158:I160"/>
    <mergeCell ref="K158:K160"/>
    <mergeCell ref="M158:M160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D170:E170"/>
    <mergeCell ref="F170:G170"/>
    <mergeCell ref="H170:I170"/>
    <mergeCell ref="J170:K170"/>
    <mergeCell ref="L170:M170"/>
    <mergeCell ref="N170:O170"/>
    <mergeCell ref="D169:E169"/>
    <mergeCell ref="F169:G169"/>
    <mergeCell ref="H169:I169"/>
    <mergeCell ref="J169:K169"/>
    <mergeCell ref="L169:M169"/>
    <mergeCell ref="N169:O169"/>
    <mergeCell ref="D172:E172"/>
    <mergeCell ref="F172:G172"/>
    <mergeCell ref="H172:I172"/>
    <mergeCell ref="J172:K172"/>
    <mergeCell ref="L172:M172"/>
    <mergeCell ref="N172:O172"/>
    <mergeCell ref="D171:E171"/>
    <mergeCell ref="F171:G171"/>
    <mergeCell ref="H171:I171"/>
    <mergeCell ref="J171:K171"/>
    <mergeCell ref="L171:M171"/>
    <mergeCell ref="N171:O171"/>
    <mergeCell ref="D174:E174"/>
    <mergeCell ref="F174:G174"/>
    <mergeCell ref="H174:I174"/>
    <mergeCell ref="J174:K174"/>
    <mergeCell ref="L174:M174"/>
    <mergeCell ref="N174:O174"/>
    <mergeCell ref="D173:E173"/>
    <mergeCell ref="F173:G173"/>
    <mergeCell ref="H173:I173"/>
    <mergeCell ref="J173:K173"/>
    <mergeCell ref="L173:M173"/>
    <mergeCell ref="N173:O173"/>
  </mergeCells>
  <printOptions horizontalCentered="1" verticalCentered="1"/>
  <pageMargins left="0" right="0" top="0" bottom="0" header="0" footer="0"/>
  <pageSetup paperSize="9" orientation="landscape" r:id="rId1"/>
  <headerFooter alignWithMargins="0"/>
  <rowBreaks count="5" manualBreakCount="5">
    <brk id="29" max="14" man="1"/>
    <brk id="58" max="14" man="1"/>
    <brk id="87" max="14" man="1"/>
    <brk id="116" max="14" man="1"/>
    <brk id="145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AFFB-42F2-4462-8489-39C1D11A5F00}">
  <sheetPr>
    <tabColor rgb="FF92D050"/>
  </sheetPr>
  <dimension ref="A1:CE180"/>
  <sheetViews>
    <sheetView view="pageBreakPreview" topLeftCell="R1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4.42578125" style="51" hidden="1" customWidth="1"/>
    <col min="2" max="2" width="20.7109375" hidden="1" customWidth="1"/>
    <col min="3" max="3" width="8.7109375" hidden="1" customWidth="1"/>
    <col min="4" max="4" width="7.7109375" hidden="1" customWidth="1"/>
    <col min="5" max="5" width="5.7109375" hidden="1" customWidth="1"/>
    <col min="6" max="6" width="7.7109375" hidden="1" customWidth="1"/>
    <col min="7" max="7" width="5.7109375" hidden="1" customWidth="1"/>
    <col min="8" max="8" width="7.7109375" hidden="1" customWidth="1"/>
    <col min="9" max="9" width="5.7109375" hidden="1" customWidth="1"/>
    <col min="10" max="10" width="7.7109375" hidden="1" customWidth="1"/>
    <col min="11" max="11" width="5.7109375" hidden="1" customWidth="1"/>
    <col min="12" max="12" width="7.7109375" hidden="1" customWidth="1"/>
    <col min="13" max="13" width="5.7109375" hidden="1" customWidth="1"/>
    <col min="14" max="14" width="8.42578125" hidden="1" customWidth="1"/>
    <col min="15" max="15" width="6.7109375" hidden="1" customWidth="1"/>
    <col min="16" max="17" width="0" hidden="1" customWidth="1"/>
    <col min="18" max="18" width="4.42578125" customWidth="1"/>
    <col min="19" max="19" width="20.7109375" customWidth="1"/>
    <col min="20" max="20" width="8.7109375" customWidth="1"/>
    <col min="21" max="21" width="7.7109375" customWidth="1"/>
    <col min="22" max="30" width="5.7109375" customWidth="1"/>
    <col min="31" max="31" width="8.42578125" customWidth="1"/>
    <col min="32" max="52" width="6.710937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4" width="4.28515625" style="215" hidden="1" customWidth="1"/>
    <col min="65" max="65" width="14.7109375" style="215" hidden="1" customWidth="1"/>
    <col min="66" max="66" width="5.28515625" style="215" hidden="1" customWidth="1"/>
    <col min="67" max="67" width="9.42578125" style="215" hidden="1" customWidth="1"/>
    <col min="68" max="68" width="11" style="215" hidden="1" customWidth="1"/>
    <col min="69" max="69" width="17.28515625" style="215" hidden="1" customWidth="1"/>
    <col min="70" max="71" width="5.28515625" style="215" hidden="1" customWidth="1"/>
    <col min="72" max="72" width="7.7109375" style="215" hidden="1" customWidth="1"/>
    <col min="73" max="73" width="11.42578125" style="215" hidden="1" customWidth="1"/>
    <col min="74" max="74" width="5.28515625" style="215" hidden="1" customWidth="1"/>
    <col min="75" max="83" width="11.42578125" hidden="1" customWidth="1"/>
    <col min="84" max="88" width="11.42578125" customWidth="1"/>
  </cols>
  <sheetData>
    <row r="1" spans="1:74" ht="21" customHeight="1" x14ac:dyDescent="0.35">
      <c r="B1" s="7" t="str">
        <f>S1</f>
        <v>Team-Nr.</v>
      </c>
      <c r="C1" s="25"/>
      <c r="D1" s="7" t="str">
        <f>U1</f>
        <v>Liga:</v>
      </c>
      <c r="E1" s="77" t="str">
        <f>V1</f>
        <v>Bezirksliga N1 Männer</v>
      </c>
      <c r="F1" s="25"/>
      <c r="G1" s="25"/>
      <c r="H1" s="25"/>
      <c r="I1" s="25"/>
      <c r="J1" s="25"/>
      <c r="K1" s="25"/>
      <c r="L1" s="25"/>
      <c r="M1" s="376" t="str">
        <f>AD1</f>
        <v>13.10.</v>
      </c>
      <c r="N1" s="376"/>
      <c r="O1" s="376"/>
      <c r="P1" s="377"/>
      <c r="Q1" s="377"/>
      <c r="R1" s="377"/>
      <c r="S1" s="7" t="s">
        <v>1801</v>
      </c>
      <c r="T1" s="25"/>
      <c r="U1" s="30" t="s">
        <v>1785</v>
      </c>
      <c r="V1" s="77" t="str">
        <f>Schlüssel!$C$1</f>
        <v>Bezirksliga N1 Männer</v>
      </c>
      <c r="X1" s="25"/>
      <c r="Y1" s="25"/>
      <c r="Z1" s="25"/>
      <c r="AA1" s="25"/>
      <c r="AC1" s="29"/>
      <c r="AD1" s="358" t="str">
        <f>Schlüssel!$M$1</f>
        <v>13.10.</v>
      </c>
      <c r="AE1" s="358"/>
      <c r="AF1" s="358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212" t="s">
        <v>2078</v>
      </c>
      <c r="BB1" s="213" t="s">
        <v>1799</v>
      </c>
      <c r="BC1" s="214" t="s">
        <v>1823</v>
      </c>
      <c r="BD1" s="215" t="s">
        <v>1814</v>
      </c>
      <c r="BE1" s="215" t="s">
        <v>1799</v>
      </c>
      <c r="BF1" s="215" t="s">
        <v>1819</v>
      </c>
      <c r="BG1" s="215" t="s">
        <v>1815</v>
      </c>
      <c r="BH1" s="215" t="s">
        <v>2079</v>
      </c>
      <c r="BI1" s="215" t="s">
        <v>2080</v>
      </c>
      <c r="BJ1" s="215" t="s">
        <v>2081</v>
      </c>
      <c r="BK1" s="215" t="s">
        <v>2082</v>
      </c>
      <c r="BL1" s="215" t="s">
        <v>2083</v>
      </c>
      <c r="BM1" s="216" t="s">
        <v>2084</v>
      </c>
      <c r="BN1" s="214" t="s">
        <v>1820</v>
      </c>
      <c r="BO1" s="215" t="s">
        <v>2085</v>
      </c>
      <c r="BP1" s="215" t="s">
        <v>2086</v>
      </c>
      <c r="BQ1" s="215" t="s">
        <v>1823</v>
      </c>
      <c r="BR1" s="214" t="s">
        <v>1820</v>
      </c>
      <c r="BS1" s="216" t="s">
        <v>2087</v>
      </c>
      <c r="BT1" s="215" t="s">
        <v>2088</v>
      </c>
      <c r="BU1" s="215" t="s">
        <v>2089</v>
      </c>
      <c r="BV1" s="214" t="s">
        <v>1820</v>
      </c>
    </row>
    <row r="2" spans="1:74" ht="17.25" customHeight="1" thickBot="1" x14ac:dyDescent="0.3">
      <c r="B2" s="50">
        <f>S2</f>
        <v>1</v>
      </c>
      <c r="D2" s="30" t="s">
        <v>1786</v>
      </c>
      <c r="E2" s="84" t="str">
        <f>V2</f>
        <v>Nürnberg West Bowling</v>
      </c>
      <c r="F2" s="77"/>
      <c r="G2" s="77"/>
      <c r="H2" s="77"/>
      <c r="I2" s="77"/>
      <c r="J2" s="77"/>
      <c r="K2" s="77"/>
      <c r="L2" s="29" t="str">
        <f>AC2</f>
        <v>Spieltag:</v>
      </c>
      <c r="M2" s="86">
        <f>AD2</f>
        <v>1</v>
      </c>
      <c r="N2" s="28"/>
      <c r="R2" s="49"/>
      <c r="S2" s="50">
        <v>1</v>
      </c>
      <c r="U2" s="30" t="s">
        <v>1786</v>
      </c>
      <c r="V2" s="84" t="str">
        <f>Schlüssel!$C$2</f>
        <v>Nürnberg West Bowling</v>
      </c>
      <c r="X2" s="77"/>
      <c r="Y2" s="77"/>
      <c r="Z2" s="77"/>
      <c r="AA2" s="77"/>
      <c r="AB2" s="77"/>
      <c r="AC2" s="29" t="s">
        <v>1784</v>
      </c>
      <c r="AD2" s="34">
        <v>1</v>
      </c>
      <c r="AE2" s="28"/>
      <c r="BA2" s="212"/>
      <c r="BB2" s="213"/>
      <c r="BC2" s="214"/>
      <c r="BM2" s="216"/>
      <c r="BN2" s="214"/>
      <c r="BR2" s="214"/>
      <c r="BS2" s="216"/>
      <c r="BV2" s="214"/>
    </row>
    <row r="3" spans="1:74" ht="15.75" customHeight="1" thickBot="1" x14ac:dyDescent="0.25">
      <c r="B3" s="32" t="str">
        <f>VLOOKUP(B2,Schlüssel!$A$5:$B$10,2)</f>
        <v>Castra Regina Regensburg 3</v>
      </c>
      <c r="C3" s="31"/>
      <c r="D3" s="42"/>
      <c r="E3" s="46"/>
      <c r="F3" s="48"/>
      <c r="G3" s="27"/>
      <c r="H3" s="27"/>
      <c r="I3" s="27"/>
      <c r="J3" s="27"/>
      <c r="K3" s="27"/>
      <c r="L3" s="27"/>
      <c r="M3" s="85"/>
      <c r="S3" s="32" t="str">
        <f>VLOOKUP(S2,Schlüssel!$A$5:$B$10,2)</f>
        <v>Castra Regina Regensburg 3</v>
      </c>
      <c r="T3" s="31"/>
      <c r="U3" s="31"/>
      <c r="V3" s="190"/>
      <c r="W3" s="61"/>
      <c r="BA3" s="212"/>
      <c r="BB3" s="213"/>
      <c r="BC3" s="214"/>
      <c r="BM3" s="216"/>
      <c r="BN3" s="214"/>
      <c r="BR3" s="214"/>
      <c r="BS3" s="216"/>
      <c r="BV3" s="214"/>
    </row>
    <row r="4" spans="1:74" ht="13.5" thickBot="1" x14ac:dyDescent="0.25">
      <c r="A4" s="33"/>
      <c r="B4" s="7"/>
      <c r="C4" s="39"/>
      <c r="D4" s="43" t="s">
        <v>10</v>
      </c>
      <c r="E4" s="7">
        <f>VLOOKUP($B$2,Schlüssel!$A$5:$DZ$10,13)</f>
        <v>1</v>
      </c>
      <c r="F4" s="47" t="s">
        <v>10</v>
      </c>
      <c r="G4" s="7">
        <f>VLOOKUP($B$2,Schlüssel!$A$5:$DZ$10,14)</f>
        <v>3</v>
      </c>
      <c r="H4" s="47" t="s">
        <v>10</v>
      </c>
      <c r="I4" s="7">
        <f>VLOOKUP($B$2,Schlüssel!$A$5:$DZ$10,15)</f>
        <v>2</v>
      </c>
      <c r="J4" s="47" t="s">
        <v>10</v>
      </c>
      <c r="K4" s="7">
        <f>VLOOKUP($B$2,Schlüssel!$A$5:$DZ$10,16)</f>
        <v>4</v>
      </c>
      <c r="L4" s="47" t="s">
        <v>10</v>
      </c>
      <c r="M4" s="7">
        <f>VLOOKUP($B$2,Schlüssel!$A$5:$DZ$10,17)</f>
        <v>1</v>
      </c>
      <c r="R4" s="6"/>
      <c r="S4" s="7"/>
      <c r="T4" s="39"/>
      <c r="U4" s="194" t="s">
        <v>10</v>
      </c>
      <c r="V4" s="191">
        <f>VLOOKUP($S2,Schlüssel!$A$5:$DZ$10,13)</f>
        <v>1</v>
      </c>
      <c r="W4" s="193" t="s">
        <v>10</v>
      </c>
      <c r="X4" s="191">
        <f>VLOOKUP($S2,Schlüssel!$A$5:$DZ$10,14)</f>
        <v>3</v>
      </c>
      <c r="Y4" s="193" t="s">
        <v>10</v>
      </c>
      <c r="Z4" s="191">
        <f>VLOOKUP($S2,Schlüssel!$A$5:$DZ$10,15)</f>
        <v>2</v>
      </c>
      <c r="AA4" s="193" t="s">
        <v>10</v>
      </c>
      <c r="AB4" s="191">
        <f>VLOOKUP($S2,Schlüssel!$A$5:$DZ$10,16)</f>
        <v>4</v>
      </c>
      <c r="AC4" s="193" t="s">
        <v>10</v>
      </c>
      <c r="AD4" s="192">
        <f>VLOOKUP($S2,Schlüssel!$A$5:$DZ$10,17)</f>
        <v>1</v>
      </c>
      <c r="BA4" s="212"/>
      <c r="BB4" s="213"/>
      <c r="BC4" s="214"/>
      <c r="BM4" s="216"/>
      <c r="BN4" s="214"/>
      <c r="BR4" s="214"/>
      <c r="BS4" s="216"/>
      <c r="BV4" s="214"/>
    </row>
    <row r="5" spans="1:74" ht="20.25" customHeight="1" x14ac:dyDescent="0.2">
      <c r="B5" s="40" t="s">
        <v>1</v>
      </c>
      <c r="C5" s="41"/>
      <c r="D5" s="359" t="s">
        <v>1792</v>
      </c>
      <c r="E5" s="360"/>
      <c r="F5" s="359" t="s">
        <v>1793</v>
      </c>
      <c r="G5" s="360"/>
      <c r="H5" s="359" t="s">
        <v>1794</v>
      </c>
      <c r="I5" s="360"/>
      <c r="J5" s="359" t="s">
        <v>1795</v>
      </c>
      <c r="K5" s="360"/>
      <c r="L5" s="359" t="s">
        <v>1796</v>
      </c>
      <c r="M5" s="360"/>
      <c r="N5" s="361" t="s">
        <v>1791</v>
      </c>
      <c r="O5" s="362"/>
      <c r="S5" s="40" t="s">
        <v>1</v>
      </c>
      <c r="T5" s="41"/>
      <c r="U5" s="359" t="s">
        <v>1792</v>
      </c>
      <c r="V5" s="360"/>
      <c r="W5" s="359" t="s">
        <v>1793</v>
      </c>
      <c r="X5" s="360"/>
      <c r="Y5" s="359" t="s">
        <v>1794</v>
      </c>
      <c r="Z5" s="360"/>
      <c r="AA5" s="359" t="s">
        <v>1795</v>
      </c>
      <c r="AB5" s="360"/>
      <c r="AC5" s="359" t="s">
        <v>1796</v>
      </c>
      <c r="AD5" s="363"/>
      <c r="AE5" s="364" t="s">
        <v>1791</v>
      </c>
      <c r="AF5" s="36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12"/>
      <c r="BB5" s="213"/>
      <c r="BC5" s="214"/>
      <c r="BM5" s="216"/>
      <c r="BN5" s="214"/>
      <c r="BR5" s="214"/>
      <c r="BV5" s="214"/>
    </row>
    <row r="6" spans="1:74" ht="15" customHeight="1" thickBot="1" x14ac:dyDescent="0.25">
      <c r="B6" s="9" t="s">
        <v>1797</v>
      </c>
      <c r="C6" s="44" t="s">
        <v>1798</v>
      </c>
      <c r="D6" s="45" t="s">
        <v>1799</v>
      </c>
      <c r="E6" s="45" t="s">
        <v>1800</v>
      </c>
      <c r="F6" s="45" t="s">
        <v>1799</v>
      </c>
      <c r="G6" s="45" t="s">
        <v>1800</v>
      </c>
      <c r="H6" s="45" t="s">
        <v>1799</v>
      </c>
      <c r="I6" s="45" t="s">
        <v>1800</v>
      </c>
      <c r="J6" s="45" t="s">
        <v>1799</v>
      </c>
      <c r="K6" s="45" t="s">
        <v>1800</v>
      </c>
      <c r="L6" s="45" t="s">
        <v>1799</v>
      </c>
      <c r="M6" s="45" t="s">
        <v>1800</v>
      </c>
      <c r="N6" s="45" t="s">
        <v>1799</v>
      </c>
      <c r="O6" s="10" t="s">
        <v>1800</v>
      </c>
      <c r="S6" s="9" t="s">
        <v>1797</v>
      </c>
      <c r="T6" s="44" t="s">
        <v>1798</v>
      </c>
      <c r="U6" s="45" t="s">
        <v>1799</v>
      </c>
      <c r="V6" s="45" t="s">
        <v>1800</v>
      </c>
      <c r="W6" s="45" t="s">
        <v>1799</v>
      </c>
      <c r="X6" s="45" t="s">
        <v>1800</v>
      </c>
      <c r="Y6" s="45" t="s">
        <v>1799</v>
      </c>
      <c r="Z6" s="45" t="s">
        <v>1800</v>
      </c>
      <c r="AA6" s="45" t="s">
        <v>1799</v>
      </c>
      <c r="AB6" s="45" t="s">
        <v>1800</v>
      </c>
      <c r="AC6" s="45" t="s">
        <v>1799</v>
      </c>
      <c r="AD6" s="45" t="s">
        <v>1800</v>
      </c>
      <c r="AE6" s="9" t="s">
        <v>1799</v>
      </c>
      <c r="AF6" s="10" t="s">
        <v>1800</v>
      </c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212"/>
      <c r="BB6" s="213"/>
      <c r="BC6" s="214"/>
      <c r="BM6" s="216"/>
      <c r="BN6" s="214"/>
      <c r="BR6" s="214"/>
      <c r="BV6" s="214"/>
    </row>
    <row r="7" spans="1:74" ht="17.100000000000001" customHeight="1" x14ac:dyDescent="0.2">
      <c r="A7" s="373" t="s">
        <v>0</v>
      </c>
      <c r="B7" s="17" t="str">
        <f>IF(S7=0,"",S7)</f>
        <v>Aumeier, Bernhard</v>
      </c>
      <c r="C7" s="18">
        <f>IF(T7=0,"",T7)</f>
        <v>25130</v>
      </c>
      <c r="D7" s="14">
        <f>IF(U7=0,"",U7)</f>
        <v>191</v>
      </c>
      <c r="E7" s="352">
        <f>IF(V7="","",V7)</f>
        <v>1</v>
      </c>
      <c r="F7" s="14">
        <f t="shared" ref="F7:F20" si="0">IF(W7=0,"",W7)</f>
        <v>171</v>
      </c>
      <c r="G7" s="352">
        <f>IF(X7="","",X7)</f>
        <v>1</v>
      </c>
      <c r="H7" s="14">
        <f t="shared" ref="H7:H20" si="1">IF(Y7=0,"",Y7)</f>
        <v>193</v>
      </c>
      <c r="I7" s="352">
        <f>IF(Z7="","",Z7)</f>
        <v>0</v>
      </c>
      <c r="J7" s="14">
        <f t="shared" ref="J7:J20" si="2">IF(AA7=0,"",AA7)</f>
        <v>198</v>
      </c>
      <c r="K7" s="352">
        <f>IF(AB7="","",AB7)</f>
        <v>1</v>
      </c>
      <c r="L7" s="14">
        <f t="shared" ref="L7:L20" si="3">IF(AC7=0,"",AC7)</f>
        <v>214</v>
      </c>
      <c r="M7" s="352">
        <f>IF(AD7="","",AD7)</f>
        <v>1</v>
      </c>
      <c r="N7" s="14">
        <f t="shared" ref="N7:N20" si="4">IF(AE7=0,"",AE7)</f>
        <v>967</v>
      </c>
      <c r="O7" s="352">
        <f>IF(AF7="","",AF7)</f>
        <v>4</v>
      </c>
      <c r="R7" s="355" t="s">
        <v>0</v>
      </c>
      <c r="S7" s="68" t="str">
        <f>IF(T7=0,"",VLOOKUP(T7,Starter!$A$1:$D$196,2,FALSE))</f>
        <v>Aumeier, Bernhard</v>
      </c>
      <c r="T7" s="175">
        <v>25130</v>
      </c>
      <c r="U7" s="183">
        <v>191</v>
      </c>
      <c r="V7" s="95">
        <f>IF(SUM(U7:U9)+U25=0,0,IF(ABS(SUM(U7:U9))=U25,0.5,IF(ABS(SUM(U7:U9))&gt;U25,1,0)))</f>
        <v>1</v>
      </c>
      <c r="W7" s="183">
        <v>171</v>
      </c>
      <c r="X7" s="95">
        <f>IF(SUM(W7:W9)+W25=0,0,IF(ABS(SUM(W7:W9))=W25,0.5,IF(ABS(SUM(W7:W9))&gt;W25,1,0)))</f>
        <v>1</v>
      </c>
      <c r="Y7" s="183">
        <v>193</v>
      </c>
      <c r="Z7" s="95">
        <f>IF(SUM(Y7:Y9)+Y25=0,0,IF(ABS(SUM(Y7:Y9))=Y25,0.5,IF(ABS(SUM(Y7:Y9))&gt;Y25,1,0)))</f>
        <v>0</v>
      </c>
      <c r="AA7" s="189">
        <v>198</v>
      </c>
      <c r="AB7" s="95">
        <f>IF(SUM(AA7:AA9)+AA25=0,0,IF(ABS(SUM(AA7:AA9))=AA25,0.5,IF(ABS(SUM(AA7:AA9))&gt;AA25,1,0)))</f>
        <v>1</v>
      </c>
      <c r="AC7" s="183">
        <v>214</v>
      </c>
      <c r="AD7" s="95">
        <f>IF(SUM(AC7:AC9)+AC25=0,0,IF(ABS(SUM(AC7:AC9))=AC25,0.5,IF(ABS(SUM(AC7:AC9))&gt;AC25,1,0)))</f>
        <v>1</v>
      </c>
      <c r="AE7" s="195">
        <f t="shared" ref="AE7:AE18" si="5">ABS(SUM(U7:U7))+ABS(SUM(W7:W7))+ABS(SUM(Y7:Y7))+ABS(SUM(AA7:AA7))+ABS(SUM(AC7:AC7))</f>
        <v>967</v>
      </c>
      <c r="AF7" s="180">
        <f>SUM(V7+X7+Z7+AB7+AD7)</f>
        <v>4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212"/>
      <c r="BB7" s="213"/>
      <c r="BC7" s="214"/>
      <c r="BD7" s="217">
        <f>T7</f>
        <v>25130</v>
      </c>
      <c r="BE7" s="213">
        <f>AE7</f>
        <v>967</v>
      </c>
      <c r="BF7" s="215">
        <f t="shared" ref="BF7:BF18" si="6">COUNT(BH7:BL7)</f>
        <v>5</v>
      </c>
      <c r="BG7" s="215">
        <f t="shared" ref="BG7:BG18" si="7">COUNTIF(BH7:BL7,"&gt;0")</f>
        <v>5</v>
      </c>
      <c r="BH7" s="215">
        <f>IF(U7=0,"",U7)</f>
        <v>191</v>
      </c>
      <c r="BI7" s="215">
        <f t="shared" ref="BI7:BI18" si="8">IF(W7=0,"",W7)</f>
        <v>171</v>
      </c>
      <c r="BJ7" s="215">
        <f t="shared" ref="BJ7:BJ18" si="9">IF(Y7=0,"",Y7)</f>
        <v>193</v>
      </c>
      <c r="BK7" s="215">
        <f t="shared" ref="BK7:BK18" si="10">IF(AA7=0,"",AA7)</f>
        <v>198</v>
      </c>
      <c r="BL7" s="215">
        <f t="shared" ref="BL7:BL18" si="11">IF(AC7=0,"",AC7)</f>
        <v>214</v>
      </c>
      <c r="BM7" s="216"/>
      <c r="BN7" s="214"/>
      <c r="BO7" s="215">
        <f t="shared" ref="BO7:BO18" si="12">MAX(BH7:BL7)</f>
        <v>214</v>
      </c>
      <c r="BP7" s="215">
        <f>IF(BO7&lt;MAX(BO:BO),0,BO7+ROW()/1000000000)</f>
        <v>0</v>
      </c>
      <c r="BQ7" s="215" t="str">
        <f>+S3</f>
        <v>Castra Regina Regensburg 3</v>
      </c>
      <c r="BR7" s="214">
        <f>RANK(BP7,BP:BP)</f>
        <v>2</v>
      </c>
      <c r="BS7" s="215">
        <f t="shared" ref="BS7:BS18" si="13">SUMIF(BH7:BL7,"&gt;0")</f>
        <v>967</v>
      </c>
      <c r="BT7" s="215">
        <f>IF(COUNTIF(BH7:BL7,"&gt;0")&lt;Spielorte!$A$23,0,BE7/Spielorte!$A$23)</f>
        <v>193.4</v>
      </c>
      <c r="BU7" s="215">
        <f>IF(BT7&lt;MAX(BT:BT),0,BT7+ROW()/1000000000)</f>
        <v>0</v>
      </c>
      <c r="BV7" s="214">
        <f t="shared" ref="BV7:BV18" si="14">IF(BU7=0,0,RANK(BU7,BU:BU))</f>
        <v>0</v>
      </c>
    </row>
    <row r="8" spans="1:74" ht="17.100000000000001" customHeight="1" x14ac:dyDescent="0.2">
      <c r="A8" s="374"/>
      <c r="B8" s="19" t="str">
        <f t="shared" ref="B8:D20" si="15">IF(S8=0,"",S8)</f>
        <v/>
      </c>
      <c r="C8" s="20" t="str">
        <f t="shared" si="15"/>
        <v/>
      </c>
      <c r="D8" s="15" t="str">
        <f t="shared" si="15"/>
        <v/>
      </c>
      <c r="E8" s="353"/>
      <c r="F8" s="15" t="str">
        <f t="shared" si="0"/>
        <v/>
      </c>
      <c r="G8" s="353"/>
      <c r="H8" s="15" t="str">
        <f t="shared" si="1"/>
        <v/>
      </c>
      <c r="I8" s="353"/>
      <c r="J8" s="15" t="str">
        <f t="shared" si="2"/>
        <v/>
      </c>
      <c r="K8" s="353"/>
      <c r="L8" s="15" t="str">
        <f t="shared" si="3"/>
        <v/>
      </c>
      <c r="M8" s="353"/>
      <c r="N8" s="15" t="str">
        <f t="shared" si="4"/>
        <v/>
      </c>
      <c r="O8" s="353"/>
      <c r="R8" s="356"/>
      <c r="S8" s="68" t="str">
        <f>IF(T8=0,"",VLOOKUP(T8,Starter!$A$1:$D$196,2,FALSE))</f>
        <v/>
      </c>
      <c r="T8" s="176"/>
      <c r="U8" s="184"/>
      <c r="V8" s="96"/>
      <c r="W8" s="184"/>
      <c r="X8" s="96"/>
      <c r="Y8" s="184"/>
      <c r="Z8" s="96"/>
      <c r="AA8" s="184"/>
      <c r="AB8" s="96"/>
      <c r="AC8" s="184"/>
      <c r="AD8" s="96"/>
      <c r="AE8" s="196">
        <f t="shared" si="5"/>
        <v>0</v>
      </c>
      <c r="AF8" s="181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212"/>
      <c r="BB8" s="213"/>
      <c r="BC8" s="214"/>
      <c r="BD8" s="217">
        <f t="shared" ref="BD8:BD18" si="16">T8</f>
        <v>0</v>
      </c>
      <c r="BE8" s="213">
        <f t="shared" ref="BE8:BE18" si="17">AE8</f>
        <v>0</v>
      </c>
      <c r="BF8" s="215">
        <f t="shared" si="6"/>
        <v>0</v>
      </c>
      <c r="BG8" s="215">
        <f t="shared" si="7"/>
        <v>0</v>
      </c>
      <c r="BH8" s="215" t="str">
        <f t="shared" ref="BH8:BH18" si="18">IF(U8=0,"",U8)</f>
        <v/>
      </c>
      <c r="BI8" s="215" t="str">
        <f t="shared" si="8"/>
        <v/>
      </c>
      <c r="BJ8" s="215" t="str">
        <f t="shared" si="9"/>
        <v/>
      </c>
      <c r="BK8" s="215" t="str">
        <f t="shared" si="10"/>
        <v/>
      </c>
      <c r="BL8" s="215" t="str">
        <f t="shared" si="11"/>
        <v/>
      </c>
      <c r="BM8" s="216"/>
      <c r="BN8" s="214"/>
      <c r="BO8" s="215">
        <f t="shared" si="12"/>
        <v>0</v>
      </c>
      <c r="BP8" s="215">
        <f t="shared" ref="BP8:BP18" si="19">IF(BO8&lt;MAX(BO:BO),0,BO8+ROW()/1000000000)</f>
        <v>0</v>
      </c>
      <c r="BQ8" s="215" t="str">
        <f t="shared" ref="BQ8:BQ18" si="20">+BQ7</f>
        <v>Castra Regina Regensburg 3</v>
      </c>
      <c r="BR8" s="214">
        <f t="shared" ref="BR8:BR18" si="21">RANK(BP8,BP:BP)</f>
        <v>2</v>
      </c>
      <c r="BS8" s="215">
        <f t="shared" si="13"/>
        <v>0</v>
      </c>
      <c r="BT8" s="215">
        <f>IF(COUNTIF(BH8:BL8,"&gt;0")&lt;Spielorte!$A$23,0,BE8/Spielorte!$A$23)</f>
        <v>0</v>
      </c>
      <c r="BU8" s="215">
        <f t="shared" ref="BU8:BU18" si="22">IF(BT8&lt;MAX(BT:BT),0,BT8+ROW()/1000000000)</f>
        <v>0</v>
      </c>
      <c r="BV8" s="214">
        <f t="shared" si="14"/>
        <v>0</v>
      </c>
    </row>
    <row r="9" spans="1:74" ht="17.100000000000001" customHeight="1" thickBot="1" x14ac:dyDescent="0.25">
      <c r="A9" s="375"/>
      <c r="B9" s="21" t="str">
        <f t="shared" si="15"/>
        <v/>
      </c>
      <c r="C9" s="22" t="str">
        <f t="shared" si="15"/>
        <v/>
      </c>
      <c r="D9" s="9" t="str">
        <f t="shared" si="15"/>
        <v/>
      </c>
      <c r="E9" s="354"/>
      <c r="F9" s="9" t="str">
        <f t="shared" si="0"/>
        <v/>
      </c>
      <c r="G9" s="354"/>
      <c r="H9" s="9" t="str">
        <f t="shared" si="1"/>
        <v/>
      </c>
      <c r="I9" s="354"/>
      <c r="J9" s="9" t="str">
        <f t="shared" si="2"/>
        <v/>
      </c>
      <c r="K9" s="354"/>
      <c r="L9" s="9" t="str">
        <f t="shared" si="3"/>
        <v/>
      </c>
      <c r="M9" s="354"/>
      <c r="N9" s="9" t="str">
        <f t="shared" si="4"/>
        <v/>
      </c>
      <c r="O9" s="354"/>
      <c r="R9" s="357"/>
      <c r="S9" s="69" t="str">
        <f>IF(T9=0,"",VLOOKUP(T9,Starter!$A$1:$D$196,2,FALSE))</f>
        <v/>
      </c>
      <c r="T9" s="177"/>
      <c r="U9" s="185"/>
      <c r="V9" s="96"/>
      <c r="W9" s="185"/>
      <c r="X9" s="96"/>
      <c r="Y9" s="185"/>
      <c r="Z9" s="96"/>
      <c r="AA9" s="185"/>
      <c r="AB9" s="96"/>
      <c r="AC9" s="185"/>
      <c r="AD9" s="96"/>
      <c r="AE9" s="197">
        <f t="shared" si="5"/>
        <v>0</v>
      </c>
      <c r="AF9" s="182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212"/>
      <c r="BB9" s="213"/>
      <c r="BC9" s="214"/>
      <c r="BD9" s="217">
        <f t="shared" si="16"/>
        <v>0</v>
      </c>
      <c r="BE9" s="213">
        <f t="shared" si="17"/>
        <v>0</v>
      </c>
      <c r="BF9" s="215">
        <f t="shared" si="6"/>
        <v>0</v>
      </c>
      <c r="BG9" s="215">
        <f t="shared" si="7"/>
        <v>0</v>
      </c>
      <c r="BH9" s="215" t="str">
        <f t="shared" si="18"/>
        <v/>
      </c>
      <c r="BI9" s="215" t="str">
        <f t="shared" si="8"/>
        <v/>
      </c>
      <c r="BJ9" s="215" t="str">
        <f t="shared" si="9"/>
        <v/>
      </c>
      <c r="BK9" s="215" t="str">
        <f t="shared" si="10"/>
        <v/>
      </c>
      <c r="BL9" s="215" t="str">
        <f t="shared" si="11"/>
        <v/>
      </c>
      <c r="BM9" s="216"/>
      <c r="BN9" s="214"/>
      <c r="BO9" s="215">
        <f t="shared" si="12"/>
        <v>0</v>
      </c>
      <c r="BP9" s="215">
        <f t="shared" si="19"/>
        <v>0</v>
      </c>
      <c r="BQ9" s="215" t="str">
        <f t="shared" si="20"/>
        <v>Castra Regina Regensburg 3</v>
      </c>
      <c r="BR9" s="214">
        <f t="shared" si="21"/>
        <v>2</v>
      </c>
      <c r="BS9" s="215">
        <f t="shared" si="13"/>
        <v>0</v>
      </c>
      <c r="BT9" s="215">
        <f>IF(COUNTIF(BH9:BL9,"&gt;0")&lt;Spielorte!$A$23,0,BE9/Spielorte!$A$23)</f>
        <v>0</v>
      </c>
      <c r="BU9" s="215">
        <f t="shared" si="22"/>
        <v>0</v>
      </c>
      <c r="BV9" s="214">
        <f t="shared" si="14"/>
        <v>0</v>
      </c>
    </row>
    <row r="10" spans="1:74" ht="17.100000000000001" customHeight="1" x14ac:dyDescent="0.2">
      <c r="A10" s="373" t="s">
        <v>2</v>
      </c>
      <c r="B10" s="17" t="str">
        <f t="shared" si="15"/>
        <v>Simon, Diana</v>
      </c>
      <c r="C10" s="18">
        <f t="shared" si="15"/>
        <v>38869</v>
      </c>
      <c r="D10" s="14">
        <f t="shared" si="15"/>
        <v>128</v>
      </c>
      <c r="E10" s="352">
        <f>IF(V10="","",V10)</f>
        <v>0</v>
      </c>
      <c r="F10" s="14">
        <f t="shared" si="0"/>
        <v>148</v>
      </c>
      <c r="G10" s="352">
        <f>IF(X10="","",X10)</f>
        <v>0</v>
      </c>
      <c r="H10" s="14">
        <f t="shared" si="1"/>
        <v>206</v>
      </c>
      <c r="I10" s="352">
        <f>IF(Z10="","",Z10)</f>
        <v>1</v>
      </c>
      <c r="J10" s="14">
        <f t="shared" si="2"/>
        <v>143</v>
      </c>
      <c r="K10" s="352">
        <f>IF(AB10="","",AB10)</f>
        <v>1</v>
      </c>
      <c r="L10" s="14">
        <f t="shared" si="3"/>
        <v>148</v>
      </c>
      <c r="M10" s="352">
        <f>IF(AD10="","",AD10)</f>
        <v>0</v>
      </c>
      <c r="N10" s="14">
        <f t="shared" si="4"/>
        <v>773</v>
      </c>
      <c r="O10" s="352">
        <f>IF(AF10="","",AF10)</f>
        <v>2</v>
      </c>
      <c r="R10" s="355" t="s">
        <v>2</v>
      </c>
      <c r="S10" s="68" t="str">
        <f>IF(T10=0,"",VLOOKUP(T10,Starter!$A$1:$D$196,2,FALSE))</f>
        <v>Simon, Diana</v>
      </c>
      <c r="T10" s="178">
        <v>38869</v>
      </c>
      <c r="U10" s="186">
        <v>128</v>
      </c>
      <c r="V10" s="95">
        <f>IF(SUM(U10:U12)+U26=0,0,IF(ABS(SUM(U10:U12))=U26,0.5,IF(ABS(SUM(U10:U12))&gt;U26,1,0)))</f>
        <v>0</v>
      </c>
      <c r="W10" s="186">
        <v>148</v>
      </c>
      <c r="X10" s="95">
        <f>IF(SUM(W10:W12)+W26=0,0,IF(ABS(SUM(W10:W12))=W26,0.5,IF(ABS(SUM(W10:W12))&gt;W26,1,0)))</f>
        <v>0</v>
      </c>
      <c r="Y10" s="186">
        <v>206</v>
      </c>
      <c r="Z10" s="95">
        <f>IF(SUM(Y10:Y12)+Y26=0,0,IF(ABS(SUM(Y10:Y12))=Y26,0.5,IF(ABS(SUM(Y10:Y12))&gt;Y26,1,0)))</f>
        <v>1</v>
      </c>
      <c r="AA10" s="186">
        <v>143</v>
      </c>
      <c r="AB10" s="95">
        <f>IF(SUM(AA10:AA12)+AA26=0,0,IF(ABS(SUM(AA10:AA12))=AA26,0.5,IF(ABS(SUM(AA10:AA12))&gt;AA26,1,0)))</f>
        <v>1</v>
      </c>
      <c r="AC10" s="186">
        <v>148</v>
      </c>
      <c r="AD10" s="95">
        <f>IF(SUM(AC10:AC12)+AC26=0,0,IF(ABS(SUM(AC10:AC12))=AC26,0.5,IF(ABS(SUM(AC10:AC12))&gt;AC26,1,0)))</f>
        <v>0</v>
      </c>
      <c r="AE10" s="195">
        <f t="shared" si="5"/>
        <v>773</v>
      </c>
      <c r="AF10" s="180">
        <f>SUM(V10+X10+Z10+AB10+AD10)</f>
        <v>2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212"/>
      <c r="BB10" s="213"/>
      <c r="BC10" s="214"/>
      <c r="BD10" s="217">
        <f t="shared" si="16"/>
        <v>38869</v>
      </c>
      <c r="BE10" s="213">
        <f t="shared" si="17"/>
        <v>773</v>
      </c>
      <c r="BF10" s="215">
        <f t="shared" si="6"/>
        <v>5</v>
      </c>
      <c r="BG10" s="215">
        <f t="shared" si="7"/>
        <v>5</v>
      </c>
      <c r="BH10" s="215">
        <f t="shared" si="18"/>
        <v>128</v>
      </c>
      <c r="BI10" s="215">
        <f t="shared" si="8"/>
        <v>148</v>
      </c>
      <c r="BJ10" s="215">
        <f t="shared" si="9"/>
        <v>206</v>
      </c>
      <c r="BK10" s="215">
        <f t="shared" si="10"/>
        <v>143</v>
      </c>
      <c r="BL10" s="215">
        <f t="shared" si="11"/>
        <v>148</v>
      </c>
      <c r="BM10" s="216"/>
      <c r="BN10" s="214"/>
      <c r="BO10" s="215">
        <f t="shared" si="12"/>
        <v>206</v>
      </c>
      <c r="BP10" s="215">
        <f t="shared" si="19"/>
        <v>0</v>
      </c>
      <c r="BQ10" s="215" t="str">
        <f t="shared" si="20"/>
        <v>Castra Regina Regensburg 3</v>
      </c>
      <c r="BR10" s="214">
        <f t="shared" si="21"/>
        <v>2</v>
      </c>
      <c r="BS10" s="215">
        <f t="shared" si="13"/>
        <v>773</v>
      </c>
      <c r="BT10" s="215">
        <f>IF(COUNTIF(BH10:BL10,"&gt;0")&lt;Spielorte!$A$23,0,BE10/Spielorte!$A$23)</f>
        <v>154.6</v>
      </c>
      <c r="BU10" s="215">
        <f t="shared" si="22"/>
        <v>0</v>
      </c>
      <c r="BV10" s="214">
        <f t="shared" si="14"/>
        <v>0</v>
      </c>
    </row>
    <row r="11" spans="1:74" ht="17.100000000000001" customHeight="1" x14ac:dyDescent="0.2">
      <c r="A11" s="374"/>
      <c r="B11" s="19" t="str">
        <f t="shared" si="15"/>
        <v/>
      </c>
      <c r="C11" s="20" t="str">
        <f t="shared" si="15"/>
        <v/>
      </c>
      <c r="D11" s="15" t="str">
        <f t="shared" si="15"/>
        <v/>
      </c>
      <c r="E11" s="353"/>
      <c r="F11" s="15" t="str">
        <f t="shared" si="0"/>
        <v/>
      </c>
      <c r="G11" s="353"/>
      <c r="H11" s="15" t="str">
        <f t="shared" si="1"/>
        <v/>
      </c>
      <c r="I11" s="353"/>
      <c r="J11" s="15" t="str">
        <f t="shared" si="2"/>
        <v/>
      </c>
      <c r="K11" s="353"/>
      <c r="L11" s="15" t="str">
        <f t="shared" si="3"/>
        <v/>
      </c>
      <c r="M11" s="353"/>
      <c r="N11" s="15" t="str">
        <f t="shared" si="4"/>
        <v/>
      </c>
      <c r="O11" s="353"/>
      <c r="R11" s="356"/>
      <c r="S11" s="68" t="str">
        <f>IF(T11=0,"",VLOOKUP(T11,Starter!$A$1:$D$196,2,FALSE))</f>
        <v/>
      </c>
      <c r="T11" s="176"/>
      <c r="U11" s="184"/>
      <c r="V11" s="96"/>
      <c r="W11" s="184"/>
      <c r="X11" s="96"/>
      <c r="Y11" s="184"/>
      <c r="Z11" s="96"/>
      <c r="AA11" s="184"/>
      <c r="AB11" s="96"/>
      <c r="AC11" s="184"/>
      <c r="AD11" s="96"/>
      <c r="AE11" s="196">
        <f t="shared" si="5"/>
        <v>0</v>
      </c>
      <c r="AF11" s="181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212"/>
      <c r="BB11" s="213"/>
      <c r="BC11" s="214"/>
      <c r="BD11" s="217">
        <f t="shared" si="16"/>
        <v>0</v>
      </c>
      <c r="BE11" s="213">
        <f t="shared" si="17"/>
        <v>0</v>
      </c>
      <c r="BF11" s="215">
        <f t="shared" si="6"/>
        <v>0</v>
      </c>
      <c r="BG11" s="215">
        <f t="shared" si="7"/>
        <v>0</v>
      </c>
      <c r="BH11" s="215" t="str">
        <f t="shared" si="18"/>
        <v/>
      </c>
      <c r="BI11" s="215" t="str">
        <f t="shared" si="8"/>
        <v/>
      </c>
      <c r="BJ11" s="215" t="str">
        <f t="shared" si="9"/>
        <v/>
      </c>
      <c r="BK11" s="215" t="str">
        <f t="shared" si="10"/>
        <v/>
      </c>
      <c r="BL11" s="215" t="str">
        <f t="shared" si="11"/>
        <v/>
      </c>
      <c r="BM11" s="216"/>
      <c r="BN11" s="214"/>
      <c r="BO11" s="215">
        <f t="shared" si="12"/>
        <v>0</v>
      </c>
      <c r="BP11" s="215">
        <f t="shared" si="19"/>
        <v>0</v>
      </c>
      <c r="BQ11" s="215" t="str">
        <f t="shared" si="20"/>
        <v>Castra Regina Regensburg 3</v>
      </c>
      <c r="BR11" s="214">
        <f t="shared" si="21"/>
        <v>2</v>
      </c>
      <c r="BS11" s="215">
        <f t="shared" si="13"/>
        <v>0</v>
      </c>
      <c r="BT11" s="215">
        <f>IF(COUNTIF(BH11:BL11,"&gt;0")&lt;Spielorte!$A$23,0,BE11/Spielorte!$A$23)</f>
        <v>0</v>
      </c>
      <c r="BU11" s="215">
        <f t="shared" si="22"/>
        <v>0</v>
      </c>
      <c r="BV11" s="214">
        <f t="shared" si="14"/>
        <v>0</v>
      </c>
    </row>
    <row r="12" spans="1:74" ht="17.100000000000001" customHeight="1" thickBot="1" x14ac:dyDescent="0.25">
      <c r="A12" s="375"/>
      <c r="B12" s="21" t="str">
        <f t="shared" si="15"/>
        <v/>
      </c>
      <c r="C12" s="22" t="str">
        <f t="shared" si="15"/>
        <v/>
      </c>
      <c r="D12" s="9" t="str">
        <f t="shared" si="15"/>
        <v/>
      </c>
      <c r="E12" s="354"/>
      <c r="F12" s="9" t="str">
        <f t="shared" si="0"/>
        <v/>
      </c>
      <c r="G12" s="354"/>
      <c r="H12" s="9" t="str">
        <f t="shared" si="1"/>
        <v/>
      </c>
      <c r="I12" s="354"/>
      <c r="J12" s="9" t="str">
        <f t="shared" si="2"/>
        <v/>
      </c>
      <c r="K12" s="354"/>
      <c r="L12" s="9" t="str">
        <f t="shared" si="3"/>
        <v/>
      </c>
      <c r="M12" s="354"/>
      <c r="N12" s="9" t="str">
        <f t="shared" si="4"/>
        <v/>
      </c>
      <c r="O12" s="354"/>
      <c r="R12" s="357"/>
      <c r="S12" s="70" t="str">
        <f>IF(T12=0,"",VLOOKUP(T12,Starter!$A$1:$D$196,2,FALSE))</f>
        <v/>
      </c>
      <c r="T12" s="179"/>
      <c r="U12" s="187"/>
      <c r="V12" s="97"/>
      <c r="W12" s="187"/>
      <c r="X12" s="97"/>
      <c r="Y12" s="187"/>
      <c r="Z12" s="97"/>
      <c r="AA12" s="187"/>
      <c r="AB12" s="97"/>
      <c r="AC12" s="187"/>
      <c r="AD12" s="97"/>
      <c r="AE12" s="197">
        <f t="shared" si="5"/>
        <v>0</v>
      </c>
      <c r="AF12" s="182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212"/>
      <c r="BB12" s="213"/>
      <c r="BC12" s="214"/>
      <c r="BD12" s="217">
        <f t="shared" si="16"/>
        <v>0</v>
      </c>
      <c r="BE12" s="213">
        <f t="shared" si="17"/>
        <v>0</v>
      </c>
      <c r="BF12" s="215">
        <f t="shared" si="6"/>
        <v>0</v>
      </c>
      <c r="BG12" s="215">
        <f t="shared" si="7"/>
        <v>0</v>
      </c>
      <c r="BH12" s="215" t="str">
        <f t="shared" si="18"/>
        <v/>
      </c>
      <c r="BI12" s="215" t="str">
        <f t="shared" si="8"/>
        <v/>
      </c>
      <c r="BJ12" s="215" t="str">
        <f t="shared" si="9"/>
        <v/>
      </c>
      <c r="BK12" s="215" t="str">
        <f t="shared" si="10"/>
        <v/>
      </c>
      <c r="BL12" s="215" t="str">
        <f t="shared" si="11"/>
        <v/>
      </c>
      <c r="BM12" s="216"/>
      <c r="BN12" s="214"/>
      <c r="BO12" s="215">
        <f t="shared" si="12"/>
        <v>0</v>
      </c>
      <c r="BP12" s="215">
        <f t="shared" si="19"/>
        <v>0</v>
      </c>
      <c r="BQ12" s="215" t="str">
        <f t="shared" si="20"/>
        <v>Castra Regina Regensburg 3</v>
      </c>
      <c r="BR12" s="214">
        <f t="shared" si="21"/>
        <v>2</v>
      </c>
      <c r="BS12" s="215">
        <f t="shared" si="13"/>
        <v>0</v>
      </c>
      <c r="BT12" s="215">
        <f>IF(COUNTIF(BH12:BL12,"&gt;0")&lt;Spielorte!$A$23,0,BE12/Spielorte!$A$23)</f>
        <v>0</v>
      </c>
      <c r="BU12" s="215">
        <f t="shared" si="22"/>
        <v>0</v>
      </c>
      <c r="BV12" s="214">
        <f t="shared" si="14"/>
        <v>0</v>
      </c>
    </row>
    <row r="13" spans="1:74" ht="17.100000000000001" customHeight="1" x14ac:dyDescent="0.2">
      <c r="A13" s="373" t="s">
        <v>3</v>
      </c>
      <c r="B13" s="17" t="str">
        <f t="shared" si="15"/>
        <v>Stibel, Blasius</v>
      </c>
      <c r="C13" s="18">
        <f t="shared" si="15"/>
        <v>7849</v>
      </c>
      <c r="D13" s="14">
        <f t="shared" si="15"/>
        <v>173</v>
      </c>
      <c r="E13" s="352">
        <f>IF(V13="","",V13)</f>
        <v>1</v>
      </c>
      <c r="F13" s="14">
        <f t="shared" si="0"/>
        <v>145</v>
      </c>
      <c r="G13" s="352">
        <f>IF(X13="","",X13)</f>
        <v>0</v>
      </c>
      <c r="H13" s="14">
        <f t="shared" si="1"/>
        <v>195</v>
      </c>
      <c r="I13" s="352">
        <f>IF(Z13="","",Z13)</f>
        <v>1</v>
      </c>
      <c r="J13" s="14">
        <f t="shared" si="2"/>
        <v>195</v>
      </c>
      <c r="K13" s="352">
        <f>IF(AB13="","",AB13)</f>
        <v>1</v>
      </c>
      <c r="L13" s="14">
        <f t="shared" si="3"/>
        <v>171</v>
      </c>
      <c r="M13" s="352">
        <f>IF(AD13="","",AD13)</f>
        <v>0</v>
      </c>
      <c r="N13" s="14">
        <f t="shared" si="4"/>
        <v>879</v>
      </c>
      <c r="O13" s="352">
        <f>IF(AF13="","",AF13)</f>
        <v>3</v>
      </c>
      <c r="R13" s="355" t="s">
        <v>3</v>
      </c>
      <c r="S13" s="68" t="str">
        <f>IF(T13=0,"",VLOOKUP(T13,Starter!$A$1:$D$196,2,FALSE))</f>
        <v>Stibel, Blasius</v>
      </c>
      <c r="T13" s="178">
        <v>7849</v>
      </c>
      <c r="U13" s="186">
        <v>173</v>
      </c>
      <c r="V13" s="95">
        <f>IF(SUM(U13:U15)+U27=0,0,IF(ABS(SUM(U13:U15))=U27,0.5,IF(ABS(SUM(U13:U15))&gt;U27,1,0)))</f>
        <v>1</v>
      </c>
      <c r="W13" s="186">
        <v>145</v>
      </c>
      <c r="X13" s="95">
        <f>IF(SUM(W13:W15)+W27=0,0,IF(ABS(SUM(W13:W15))=W27,0.5,IF(ABS(SUM(W13:W15))&gt;W27,1,0)))</f>
        <v>0</v>
      </c>
      <c r="Y13" s="186">
        <v>195</v>
      </c>
      <c r="Z13" s="95">
        <f>IF(SUM(Y13:Y15)+Y27=0,0,IF(ABS(SUM(Y13:Y15))=Y27,0.5,IF(ABS(SUM(Y13:Y15))&gt;Y27,1,0)))</f>
        <v>1</v>
      </c>
      <c r="AA13" s="186">
        <v>195</v>
      </c>
      <c r="AB13" s="95">
        <f>IF(SUM(AA13:AA15)+AA27=0,0,IF(ABS(SUM(AA13:AA15))=AA27,0.5,IF(ABS(SUM(AA13:AA15))&gt;AA27,1,0)))</f>
        <v>1</v>
      </c>
      <c r="AC13" s="186">
        <v>171</v>
      </c>
      <c r="AD13" s="95">
        <f>IF(SUM(AC13:AC15)+AC27=0,0,IF(ABS(SUM(AC13:AC15))=AC27,0.5,IF(ABS(SUM(AC13:AC15))&gt;AC27,1,0)))</f>
        <v>0</v>
      </c>
      <c r="AE13" s="195">
        <f t="shared" si="5"/>
        <v>879</v>
      </c>
      <c r="AF13" s="180">
        <f>SUM(V13+X13+Z13+AB13+AD13)</f>
        <v>3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212"/>
      <c r="BB13" s="213"/>
      <c r="BC13" s="214"/>
      <c r="BD13" s="217">
        <f t="shared" si="16"/>
        <v>7849</v>
      </c>
      <c r="BE13" s="213">
        <f t="shared" si="17"/>
        <v>879</v>
      </c>
      <c r="BF13" s="215">
        <f t="shared" si="6"/>
        <v>5</v>
      </c>
      <c r="BG13" s="215">
        <f t="shared" si="7"/>
        <v>5</v>
      </c>
      <c r="BH13" s="215">
        <f t="shared" si="18"/>
        <v>173</v>
      </c>
      <c r="BI13" s="215">
        <f t="shared" si="8"/>
        <v>145</v>
      </c>
      <c r="BJ13" s="215">
        <f t="shared" si="9"/>
        <v>195</v>
      </c>
      <c r="BK13" s="215">
        <f t="shared" si="10"/>
        <v>195</v>
      </c>
      <c r="BL13" s="215">
        <f t="shared" si="11"/>
        <v>171</v>
      </c>
      <c r="BM13" s="216"/>
      <c r="BN13" s="214"/>
      <c r="BO13" s="215">
        <f t="shared" si="12"/>
        <v>195</v>
      </c>
      <c r="BP13" s="215">
        <f t="shared" si="19"/>
        <v>0</v>
      </c>
      <c r="BQ13" s="215" t="str">
        <f t="shared" si="20"/>
        <v>Castra Regina Regensburg 3</v>
      </c>
      <c r="BR13" s="214">
        <f t="shared" si="21"/>
        <v>2</v>
      </c>
      <c r="BS13" s="215">
        <f t="shared" si="13"/>
        <v>879</v>
      </c>
      <c r="BT13" s="215">
        <f>IF(COUNTIF(BH13:BL13,"&gt;0")&lt;Spielorte!$A$23,0,BE13/Spielorte!$A$23)</f>
        <v>175.8</v>
      </c>
      <c r="BU13" s="215">
        <f t="shared" si="22"/>
        <v>0</v>
      </c>
      <c r="BV13" s="214">
        <f t="shared" si="14"/>
        <v>0</v>
      </c>
    </row>
    <row r="14" spans="1:74" ht="17.100000000000001" customHeight="1" x14ac:dyDescent="0.2">
      <c r="A14" s="374"/>
      <c r="B14" s="19" t="str">
        <f t="shared" si="15"/>
        <v/>
      </c>
      <c r="C14" s="20" t="str">
        <f t="shared" si="15"/>
        <v/>
      </c>
      <c r="D14" s="15" t="str">
        <f t="shared" si="15"/>
        <v/>
      </c>
      <c r="E14" s="353"/>
      <c r="F14" s="15" t="str">
        <f t="shared" si="0"/>
        <v/>
      </c>
      <c r="G14" s="353"/>
      <c r="H14" s="15" t="str">
        <f t="shared" si="1"/>
        <v/>
      </c>
      <c r="I14" s="353"/>
      <c r="J14" s="15" t="str">
        <f t="shared" si="2"/>
        <v/>
      </c>
      <c r="K14" s="353"/>
      <c r="L14" s="15" t="str">
        <f t="shared" si="3"/>
        <v/>
      </c>
      <c r="M14" s="353"/>
      <c r="N14" s="15" t="str">
        <f t="shared" si="4"/>
        <v/>
      </c>
      <c r="O14" s="353"/>
      <c r="R14" s="356"/>
      <c r="S14" s="68" t="str">
        <f>IF(T14=0,"",VLOOKUP(T14,Starter!$A$1:$D$196,2,FALSE))</f>
        <v/>
      </c>
      <c r="T14" s="176"/>
      <c r="U14" s="184"/>
      <c r="V14" s="96"/>
      <c r="W14" s="184"/>
      <c r="X14" s="96"/>
      <c r="Y14" s="184"/>
      <c r="Z14" s="96"/>
      <c r="AA14" s="184"/>
      <c r="AB14" s="96"/>
      <c r="AC14" s="184"/>
      <c r="AD14" s="96"/>
      <c r="AE14" s="196">
        <f t="shared" si="5"/>
        <v>0</v>
      </c>
      <c r="AF14" s="181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212"/>
      <c r="BB14" s="213"/>
      <c r="BC14" s="214"/>
      <c r="BD14" s="217">
        <f t="shared" si="16"/>
        <v>0</v>
      </c>
      <c r="BE14" s="213">
        <f t="shared" si="17"/>
        <v>0</v>
      </c>
      <c r="BF14" s="215">
        <f t="shared" si="6"/>
        <v>0</v>
      </c>
      <c r="BG14" s="215">
        <f t="shared" si="7"/>
        <v>0</v>
      </c>
      <c r="BH14" s="215" t="str">
        <f t="shared" si="18"/>
        <v/>
      </c>
      <c r="BI14" s="215" t="str">
        <f t="shared" si="8"/>
        <v/>
      </c>
      <c r="BJ14" s="215" t="str">
        <f t="shared" si="9"/>
        <v/>
      </c>
      <c r="BK14" s="215" t="str">
        <f t="shared" si="10"/>
        <v/>
      </c>
      <c r="BL14" s="215" t="str">
        <f t="shared" si="11"/>
        <v/>
      </c>
      <c r="BM14" s="216"/>
      <c r="BN14" s="214"/>
      <c r="BO14" s="215">
        <f t="shared" si="12"/>
        <v>0</v>
      </c>
      <c r="BP14" s="215">
        <f t="shared" si="19"/>
        <v>0</v>
      </c>
      <c r="BQ14" s="215" t="str">
        <f t="shared" si="20"/>
        <v>Castra Regina Regensburg 3</v>
      </c>
      <c r="BR14" s="214">
        <f t="shared" si="21"/>
        <v>2</v>
      </c>
      <c r="BS14" s="215">
        <f t="shared" si="13"/>
        <v>0</v>
      </c>
      <c r="BT14" s="215">
        <f>IF(COUNTIF(BH14:BL14,"&gt;0")&lt;Spielorte!$A$23,0,BE14/Spielorte!$A$23)</f>
        <v>0</v>
      </c>
      <c r="BU14" s="215">
        <f t="shared" si="22"/>
        <v>0</v>
      </c>
      <c r="BV14" s="214">
        <f t="shared" si="14"/>
        <v>0</v>
      </c>
    </row>
    <row r="15" spans="1:74" ht="17.100000000000001" customHeight="1" thickBot="1" x14ac:dyDescent="0.25">
      <c r="A15" s="375"/>
      <c r="B15" s="21" t="str">
        <f t="shared" si="15"/>
        <v/>
      </c>
      <c r="C15" s="22" t="str">
        <f t="shared" si="15"/>
        <v/>
      </c>
      <c r="D15" s="9" t="str">
        <f t="shared" si="15"/>
        <v/>
      </c>
      <c r="E15" s="354"/>
      <c r="F15" s="9" t="str">
        <f t="shared" si="0"/>
        <v/>
      </c>
      <c r="G15" s="354"/>
      <c r="H15" s="9" t="str">
        <f t="shared" si="1"/>
        <v/>
      </c>
      <c r="I15" s="354"/>
      <c r="J15" s="9" t="str">
        <f t="shared" si="2"/>
        <v/>
      </c>
      <c r="K15" s="354"/>
      <c r="L15" s="9" t="str">
        <f t="shared" si="3"/>
        <v/>
      </c>
      <c r="M15" s="354"/>
      <c r="N15" s="9" t="str">
        <f t="shared" si="4"/>
        <v/>
      </c>
      <c r="O15" s="354"/>
      <c r="R15" s="357"/>
      <c r="S15" s="70" t="str">
        <f>IF(T15=0,"",VLOOKUP(T15,Starter!$A$1:$D$196,2,FALSE))</f>
        <v/>
      </c>
      <c r="T15" s="179"/>
      <c r="U15" s="187"/>
      <c r="V15" s="97"/>
      <c r="W15" s="187"/>
      <c r="X15" s="97"/>
      <c r="Y15" s="187"/>
      <c r="Z15" s="97"/>
      <c r="AA15" s="187"/>
      <c r="AB15" s="97"/>
      <c r="AC15" s="187"/>
      <c r="AD15" s="97"/>
      <c r="AE15" s="197">
        <f t="shared" si="5"/>
        <v>0</v>
      </c>
      <c r="AF15" s="182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212"/>
      <c r="BB15" s="213"/>
      <c r="BC15" s="214"/>
      <c r="BD15" s="217">
        <f t="shared" si="16"/>
        <v>0</v>
      </c>
      <c r="BE15" s="213">
        <f t="shared" si="17"/>
        <v>0</v>
      </c>
      <c r="BF15" s="215">
        <f t="shared" si="6"/>
        <v>0</v>
      </c>
      <c r="BG15" s="215">
        <f t="shared" si="7"/>
        <v>0</v>
      </c>
      <c r="BH15" s="215" t="str">
        <f t="shared" si="18"/>
        <v/>
      </c>
      <c r="BI15" s="215" t="str">
        <f t="shared" si="8"/>
        <v/>
      </c>
      <c r="BJ15" s="215" t="str">
        <f t="shared" si="9"/>
        <v/>
      </c>
      <c r="BK15" s="215" t="str">
        <f t="shared" si="10"/>
        <v/>
      </c>
      <c r="BL15" s="215" t="str">
        <f t="shared" si="11"/>
        <v/>
      </c>
      <c r="BM15" s="216"/>
      <c r="BN15" s="214"/>
      <c r="BO15" s="215">
        <f t="shared" si="12"/>
        <v>0</v>
      </c>
      <c r="BP15" s="215">
        <f t="shared" si="19"/>
        <v>0</v>
      </c>
      <c r="BQ15" s="215" t="str">
        <f t="shared" si="20"/>
        <v>Castra Regina Regensburg 3</v>
      </c>
      <c r="BR15" s="214">
        <f t="shared" si="21"/>
        <v>2</v>
      </c>
      <c r="BS15" s="215">
        <f t="shared" si="13"/>
        <v>0</v>
      </c>
      <c r="BT15" s="215">
        <f>IF(COUNTIF(BH15:BL15,"&gt;0")&lt;Spielorte!$A$23,0,BE15/Spielorte!$A$23)</f>
        <v>0</v>
      </c>
      <c r="BU15" s="215">
        <f t="shared" si="22"/>
        <v>0</v>
      </c>
      <c r="BV15" s="214">
        <f t="shared" si="14"/>
        <v>0</v>
      </c>
    </row>
    <row r="16" spans="1:74" ht="17.100000000000001" customHeight="1" x14ac:dyDescent="0.2">
      <c r="A16" s="373" t="s">
        <v>11</v>
      </c>
      <c r="B16" s="17" t="str">
        <f>IF(S16=0,"",S16)</f>
        <v>Kauscher, Bernhard</v>
      </c>
      <c r="C16" s="18">
        <f t="shared" si="15"/>
        <v>7814</v>
      </c>
      <c r="D16" s="14">
        <f t="shared" si="15"/>
        <v>173</v>
      </c>
      <c r="E16" s="352">
        <f>IF(V16="","",V16)</f>
        <v>1</v>
      </c>
      <c r="F16" s="14">
        <f t="shared" si="0"/>
        <v>212</v>
      </c>
      <c r="G16" s="352">
        <f>IF(X16="","",X16)</f>
        <v>1</v>
      </c>
      <c r="H16" s="14">
        <f t="shared" si="1"/>
        <v>174</v>
      </c>
      <c r="I16" s="352">
        <f>IF(Z16="","",Z16)</f>
        <v>1</v>
      </c>
      <c r="J16" s="14">
        <f t="shared" si="2"/>
        <v>218</v>
      </c>
      <c r="K16" s="352">
        <f>IF(AB16="","",AB16)</f>
        <v>1</v>
      </c>
      <c r="L16" s="14">
        <f t="shared" si="3"/>
        <v>155</v>
      </c>
      <c r="M16" s="352">
        <f>IF(AD16="","",AD16)</f>
        <v>0</v>
      </c>
      <c r="N16" s="14">
        <f t="shared" si="4"/>
        <v>932</v>
      </c>
      <c r="O16" s="352">
        <f>IF(AF16="","",AF16)</f>
        <v>4</v>
      </c>
      <c r="R16" s="355" t="s">
        <v>11</v>
      </c>
      <c r="S16" s="68" t="str">
        <f>IF(T16=0,"",VLOOKUP(T16,Starter!$A$1:$D$196,2,FALSE))</f>
        <v>Kauscher, Bernhard</v>
      </c>
      <c r="T16" s="178">
        <v>7814</v>
      </c>
      <c r="U16" s="186">
        <v>173</v>
      </c>
      <c r="V16" s="95">
        <f>IF(SUM(U16:U18)+U28=0,0,IF(ABS(SUM(U16:U18))=U28,0.5,IF(ABS(SUM(U16:U18))&gt;U28,1,0)))</f>
        <v>1</v>
      </c>
      <c r="W16" s="186">
        <v>212</v>
      </c>
      <c r="X16" s="95">
        <f>IF(SUM(W16:W18)+W28=0,0,IF(ABS(SUM(W16:W18))=W28,0.5,IF(ABS(SUM(W16:W18))&gt;W28,1,0)))</f>
        <v>1</v>
      </c>
      <c r="Y16" s="186">
        <v>174</v>
      </c>
      <c r="Z16" s="95">
        <f>IF(SUM(Y16:Y18)+Y28=0,0,IF(ABS(SUM(Y16:Y18))=Y28,0.5,IF(ABS(SUM(Y16:Y18))&gt;Y28,1,0)))</f>
        <v>1</v>
      </c>
      <c r="AA16" s="186">
        <v>218</v>
      </c>
      <c r="AB16" s="95">
        <f>IF(SUM(AA16:AA18)+AA28=0,0,IF(ABS(SUM(AA16:AA18))=AA28,0.5,IF(ABS(SUM(AA16:AA18))&gt;AA28,1,0)))</f>
        <v>1</v>
      </c>
      <c r="AC16" s="186">
        <v>155</v>
      </c>
      <c r="AD16" s="95">
        <f>IF(SUM(AC16:AC18)+AC28=0,0,IF(ABS(SUM(AC16:AC18))=AC28,0.5,IF(ABS(SUM(AC16:AC18))&gt;AC28,1,0)))</f>
        <v>0</v>
      </c>
      <c r="AE16" s="195">
        <f t="shared" si="5"/>
        <v>932</v>
      </c>
      <c r="AF16" s="180">
        <f>SUM(V16+X16+Z16+AB16+AD16)</f>
        <v>4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212"/>
      <c r="BB16" s="213"/>
      <c r="BC16" s="214"/>
      <c r="BD16" s="217">
        <f t="shared" si="16"/>
        <v>7814</v>
      </c>
      <c r="BE16" s="213">
        <f t="shared" si="17"/>
        <v>932</v>
      </c>
      <c r="BF16" s="215">
        <f t="shared" si="6"/>
        <v>5</v>
      </c>
      <c r="BG16" s="215">
        <f t="shared" si="7"/>
        <v>5</v>
      </c>
      <c r="BH16" s="215">
        <f t="shared" si="18"/>
        <v>173</v>
      </c>
      <c r="BI16" s="215">
        <f t="shared" si="8"/>
        <v>212</v>
      </c>
      <c r="BJ16" s="215">
        <f t="shared" si="9"/>
        <v>174</v>
      </c>
      <c r="BK16" s="215">
        <f t="shared" si="10"/>
        <v>218</v>
      </c>
      <c r="BL16" s="215">
        <f t="shared" si="11"/>
        <v>155</v>
      </c>
      <c r="BM16" s="216"/>
      <c r="BN16" s="214"/>
      <c r="BO16" s="215">
        <f t="shared" si="12"/>
        <v>218</v>
      </c>
      <c r="BP16" s="215">
        <f t="shared" si="19"/>
        <v>0</v>
      </c>
      <c r="BQ16" s="215" t="str">
        <f t="shared" si="20"/>
        <v>Castra Regina Regensburg 3</v>
      </c>
      <c r="BR16" s="214">
        <f t="shared" si="21"/>
        <v>2</v>
      </c>
      <c r="BS16" s="215">
        <f t="shared" si="13"/>
        <v>932</v>
      </c>
      <c r="BT16" s="215">
        <f>IF(COUNTIF(BH16:BL16,"&gt;0")&lt;Spielorte!$A$23,0,BE16/Spielorte!$A$23)</f>
        <v>186.4</v>
      </c>
      <c r="BU16" s="215">
        <f t="shared" si="22"/>
        <v>0</v>
      </c>
      <c r="BV16" s="214">
        <f t="shared" si="14"/>
        <v>0</v>
      </c>
    </row>
    <row r="17" spans="1:74" ht="17.100000000000001" customHeight="1" x14ac:dyDescent="0.2">
      <c r="A17" s="374"/>
      <c r="B17" s="19" t="str">
        <f>IF(S17=0,"",S17)</f>
        <v/>
      </c>
      <c r="C17" s="20" t="str">
        <f t="shared" si="15"/>
        <v/>
      </c>
      <c r="D17" s="15" t="str">
        <f t="shared" si="15"/>
        <v/>
      </c>
      <c r="E17" s="353"/>
      <c r="F17" s="15" t="str">
        <f t="shared" si="0"/>
        <v/>
      </c>
      <c r="G17" s="353"/>
      <c r="H17" s="15" t="str">
        <f t="shared" si="1"/>
        <v/>
      </c>
      <c r="I17" s="353"/>
      <c r="J17" s="15" t="str">
        <f t="shared" si="2"/>
        <v/>
      </c>
      <c r="K17" s="353"/>
      <c r="L17" s="15" t="str">
        <f t="shared" si="3"/>
        <v/>
      </c>
      <c r="M17" s="353"/>
      <c r="N17" s="15" t="str">
        <f t="shared" si="4"/>
        <v/>
      </c>
      <c r="O17" s="353"/>
      <c r="R17" s="356"/>
      <c r="S17" s="68" t="str">
        <f>IF(T17=0,"",VLOOKUP(T17,Starter!$A$1:$D$196,2,FALSE))</f>
        <v/>
      </c>
      <c r="T17" s="176"/>
      <c r="U17" s="184"/>
      <c r="V17" s="96"/>
      <c r="W17" s="184"/>
      <c r="X17" s="96"/>
      <c r="Y17" s="184"/>
      <c r="Z17" s="96"/>
      <c r="AA17" s="184"/>
      <c r="AB17" s="96"/>
      <c r="AC17" s="184"/>
      <c r="AD17" s="96"/>
      <c r="AE17" s="196">
        <f t="shared" si="5"/>
        <v>0</v>
      </c>
      <c r="AF17" s="181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212"/>
      <c r="BB17" s="213"/>
      <c r="BC17" s="214"/>
      <c r="BD17" s="217">
        <f t="shared" si="16"/>
        <v>0</v>
      </c>
      <c r="BE17" s="213">
        <f t="shared" si="17"/>
        <v>0</v>
      </c>
      <c r="BF17" s="215">
        <f t="shared" si="6"/>
        <v>0</v>
      </c>
      <c r="BG17" s="215">
        <f t="shared" si="7"/>
        <v>0</v>
      </c>
      <c r="BH17" s="215" t="str">
        <f t="shared" si="18"/>
        <v/>
      </c>
      <c r="BI17" s="215" t="str">
        <f t="shared" si="8"/>
        <v/>
      </c>
      <c r="BJ17" s="215" t="str">
        <f t="shared" si="9"/>
        <v/>
      </c>
      <c r="BK17" s="215" t="str">
        <f t="shared" si="10"/>
        <v/>
      </c>
      <c r="BL17" s="215" t="str">
        <f t="shared" si="11"/>
        <v/>
      </c>
      <c r="BM17" s="216"/>
      <c r="BN17" s="214"/>
      <c r="BO17" s="215">
        <f t="shared" si="12"/>
        <v>0</v>
      </c>
      <c r="BP17" s="215">
        <f t="shared" si="19"/>
        <v>0</v>
      </c>
      <c r="BQ17" s="215" t="str">
        <f t="shared" si="20"/>
        <v>Castra Regina Regensburg 3</v>
      </c>
      <c r="BR17" s="214">
        <f t="shared" si="21"/>
        <v>2</v>
      </c>
      <c r="BS17" s="215">
        <f t="shared" si="13"/>
        <v>0</v>
      </c>
      <c r="BT17" s="215">
        <f>IF(COUNTIF(BH17:BL17,"&gt;0")&lt;Spielorte!$A$23,0,BE17/Spielorte!$A$23)</f>
        <v>0</v>
      </c>
      <c r="BU17" s="215">
        <f t="shared" si="22"/>
        <v>0</v>
      </c>
      <c r="BV17" s="214">
        <f t="shared" si="14"/>
        <v>0</v>
      </c>
    </row>
    <row r="18" spans="1:74" ht="17.100000000000001" customHeight="1" thickBot="1" x14ac:dyDescent="0.25">
      <c r="A18" s="375"/>
      <c r="B18" s="21" t="str">
        <f>IF(S18=0,"",S18)</f>
        <v/>
      </c>
      <c r="C18" s="22" t="str">
        <f t="shared" si="15"/>
        <v/>
      </c>
      <c r="D18" s="9" t="str">
        <f t="shared" si="15"/>
        <v/>
      </c>
      <c r="E18" s="354"/>
      <c r="F18" s="9" t="str">
        <f t="shared" si="0"/>
        <v/>
      </c>
      <c r="G18" s="354"/>
      <c r="H18" s="9" t="str">
        <f t="shared" si="1"/>
        <v/>
      </c>
      <c r="I18" s="354"/>
      <c r="J18" s="9" t="str">
        <f t="shared" si="2"/>
        <v/>
      </c>
      <c r="K18" s="354"/>
      <c r="L18" s="9" t="str">
        <f t="shared" si="3"/>
        <v/>
      </c>
      <c r="M18" s="354"/>
      <c r="N18" s="9" t="str">
        <f t="shared" si="4"/>
        <v/>
      </c>
      <c r="O18" s="354"/>
      <c r="R18" s="357"/>
      <c r="S18" s="70" t="str">
        <f>IF(T18=0,"",VLOOKUP(T18,Starter!$A$1:$D$196,2,FALSE))</f>
        <v/>
      </c>
      <c r="T18" s="179"/>
      <c r="U18" s="187"/>
      <c r="V18" s="97"/>
      <c r="W18" s="187"/>
      <c r="X18" s="97"/>
      <c r="Y18" s="187"/>
      <c r="Z18" s="97"/>
      <c r="AA18" s="187"/>
      <c r="AB18" s="97"/>
      <c r="AC18" s="187"/>
      <c r="AD18" s="97"/>
      <c r="AE18" s="197">
        <f t="shared" si="5"/>
        <v>0</v>
      </c>
      <c r="AF18" s="182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212"/>
      <c r="BB18" s="213"/>
      <c r="BC18" s="214"/>
      <c r="BD18" s="217">
        <f t="shared" si="16"/>
        <v>0</v>
      </c>
      <c r="BE18" s="213">
        <f t="shared" si="17"/>
        <v>0</v>
      </c>
      <c r="BF18" s="215">
        <f t="shared" si="6"/>
        <v>0</v>
      </c>
      <c r="BG18" s="215">
        <f t="shared" si="7"/>
        <v>0</v>
      </c>
      <c r="BH18" s="215" t="str">
        <f t="shared" si="18"/>
        <v/>
      </c>
      <c r="BI18" s="215" t="str">
        <f t="shared" si="8"/>
        <v/>
      </c>
      <c r="BJ18" s="215" t="str">
        <f t="shared" si="9"/>
        <v/>
      </c>
      <c r="BK18" s="215" t="str">
        <f t="shared" si="10"/>
        <v/>
      </c>
      <c r="BL18" s="215" t="str">
        <f t="shared" si="11"/>
        <v/>
      </c>
      <c r="BM18" s="216"/>
      <c r="BN18" s="214"/>
      <c r="BO18" s="215">
        <f t="shared" si="12"/>
        <v>0</v>
      </c>
      <c r="BP18" s="215">
        <f t="shared" si="19"/>
        <v>0</v>
      </c>
      <c r="BQ18" s="215" t="str">
        <f t="shared" si="20"/>
        <v>Castra Regina Regensburg 3</v>
      </c>
      <c r="BR18" s="214">
        <f t="shared" si="21"/>
        <v>2</v>
      </c>
      <c r="BS18" s="215">
        <f t="shared" si="13"/>
        <v>0</v>
      </c>
      <c r="BT18" s="215">
        <f>IF(COUNTIF(BH18:BL18,"&gt;0")&lt;Spielorte!$A$23,0,BE18/Spielorte!$A$23)</f>
        <v>0</v>
      </c>
      <c r="BU18" s="215">
        <f t="shared" si="22"/>
        <v>0</v>
      </c>
      <c r="BV18" s="214">
        <f t="shared" si="14"/>
        <v>0</v>
      </c>
    </row>
    <row r="19" spans="1:74" ht="27.75" customHeight="1" thickBot="1" x14ac:dyDescent="0.25">
      <c r="B19" s="11" t="str">
        <f>IF(S19=0,"",S19)</f>
        <v>Gesamt</v>
      </c>
      <c r="C19" s="26" t="str">
        <f t="shared" si="15"/>
        <v/>
      </c>
      <c r="D19" s="16">
        <f t="shared" si="15"/>
        <v>665</v>
      </c>
      <c r="E19" s="12">
        <f>IF(V19="","",V19)</f>
        <v>2</v>
      </c>
      <c r="F19" s="16">
        <f t="shared" si="0"/>
        <v>676</v>
      </c>
      <c r="G19" s="12">
        <f>IF(X19="","",X19)</f>
        <v>0</v>
      </c>
      <c r="H19" s="16">
        <f t="shared" si="1"/>
        <v>768</v>
      </c>
      <c r="I19" s="12">
        <f>IF(Z19="","",Z19)</f>
        <v>2</v>
      </c>
      <c r="J19" s="16">
        <f t="shared" si="2"/>
        <v>754</v>
      </c>
      <c r="K19" s="12">
        <f>IF(AB19="","",AB19)</f>
        <v>2</v>
      </c>
      <c r="L19" s="16">
        <f t="shared" si="3"/>
        <v>688</v>
      </c>
      <c r="M19" s="12">
        <f>IF(AD19="","",AD19)</f>
        <v>0</v>
      </c>
      <c r="N19" s="16">
        <f t="shared" si="4"/>
        <v>3551</v>
      </c>
      <c r="O19" s="12">
        <f>IF(AF19="","",AF19)</f>
        <v>6</v>
      </c>
      <c r="S19" s="11" t="s">
        <v>1791</v>
      </c>
      <c r="T19" s="71"/>
      <c r="U19" s="188">
        <f>ABS(SUM(U7:U9))+ABS(SUM(U10:U12))+ABS(SUM(U13:U15))+ABS(SUM(U16:U18))</f>
        <v>665</v>
      </c>
      <c r="V19" s="98">
        <f>IF(U19+U29=0,0,IF(U19=U29,1,IF(U19&gt;U29,2,0)))</f>
        <v>2</v>
      </c>
      <c r="W19" s="188">
        <f>ABS(SUM(W7:W9))+ABS(SUM(W10:W12))+ABS(SUM(W13:W15))+ABS(SUM(W16:W18))</f>
        <v>676</v>
      </c>
      <c r="X19" s="98">
        <f>IF(W19+W29=0,0,IF(W19=W29,1,IF(W19&gt;W29,2,0)))</f>
        <v>0</v>
      </c>
      <c r="Y19" s="188">
        <f>ABS(SUM(Y7:Y9))+ABS(SUM(Y10:Y12))+ABS(SUM(Y13:Y15))+ABS(SUM(Y16:Y18))</f>
        <v>768</v>
      </c>
      <c r="Z19" s="98">
        <f>IF(Y19+Y29=0,0,IF(Y19=Y29,1,IF(Y19&gt;Y29,2,0)))</f>
        <v>2</v>
      </c>
      <c r="AA19" s="188">
        <f>ABS(SUM(AA7:AA9))+ABS(SUM(AA10:AA12))+ABS(SUM(AA13:AA15))+ABS(SUM(AA16:AA18))</f>
        <v>754</v>
      </c>
      <c r="AB19" s="98">
        <f>IF(AA19+AA29=0,0,IF(AA19=AA29,1,IF(AA19&gt;AA29,2,0)))</f>
        <v>2</v>
      </c>
      <c r="AC19" s="188">
        <f>ABS(SUM(AC7:AC9))+ABS(SUM(AC10:AC12))+ABS(SUM(AC13:AC15))+ABS(SUM(AC16:AC18))</f>
        <v>688</v>
      </c>
      <c r="AD19" s="98">
        <f>IF(AC19+AC29=0,0,IF(AC19=AC29,1,IF(AC19&gt;AC29,2,0)))</f>
        <v>0</v>
      </c>
      <c r="AE19" s="198">
        <f>SUM(U19+W19+Y19+AA19+AC19)</f>
        <v>3551</v>
      </c>
      <c r="AF19" s="12">
        <f>SUM(V19+X19+Z19+AB19+AD19)</f>
        <v>6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212"/>
      <c r="BB19" s="213"/>
      <c r="BC19" s="214"/>
      <c r="BM19" s="216"/>
      <c r="BN19" s="214"/>
      <c r="BR19" s="214"/>
      <c r="BV19" s="214"/>
    </row>
    <row r="20" spans="1:74" ht="24" customHeight="1" thickBot="1" x14ac:dyDescent="0.25">
      <c r="B20" s="8" t="str">
        <f>IF(S20=0,"",S20)</f>
        <v>Gesamt - Punkte</v>
      </c>
      <c r="C20" s="1" t="str">
        <f t="shared" si="15"/>
        <v/>
      </c>
      <c r="D20" s="1" t="str">
        <f t="shared" si="15"/>
        <v/>
      </c>
      <c r="E20" s="23">
        <f>IF(V20="","",V20)</f>
        <v>5</v>
      </c>
      <c r="F20" s="1" t="str">
        <f t="shared" si="0"/>
        <v/>
      </c>
      <c r="G20" s="23">
        <f>IF(X20="","",X20)</f>
        <v>2</v>
      </c>
      <c r="H20" s="1" t="str">
        <f t="shared" si="1"/>
        <v/>
      </c>
      <c r="I20" s="23">
        <f>IF(Z20="","",Z20)</f>
        <v>5</v>
      </c>
      <c r="J20" s="1" t="str">
        <f t="shared" si="2"/>
        <v/>
      </c>
      <c r="K20" s="23">
        <f>IF(AB20="","",AB20)</f>
        <v>6</v>
      </c>
      <c r="L20" s="1" t="str">
        <f t="shared" si="3"/>
        <v/>
      </c>
      <c r="M20" s="23">
        <f>IF(AD20="","",AD20)</f>
        <v>1</v>
      </c>
      <c r="N20" s="1" t="str">
        <f t="shared" si="4"/>
        <v/>
      </c>
      <c r="O20" s="23">
        <f>IF(AF20="","",AF20)</f>
        <v>19</v>
      </c>
      <c r="S20" s="8" t="s">
        <v>1802</v>
      </c>
      <c r="T20" s="1"/>
      <c r="U20" s="1"/>
      <c r="V20" s="72">
        <f>SUM(V7:V19)</f>
        <v>5</v>
      </c>
      <c r="W20" s="1"/>
      <c r="X20" s="72">
        <f>SUM(X7:X19)</f>
        <v>2</v>
      </c>
      <c r="Y20" s="1"/>
      <c r="Z20" s="72">
        <f>SUM(Z7:Z19)</f>
        <v>5</v>
      </c>
      <c r="AA20" s="1"/>
      <c r="AB20" s="72">
        <f>SUM(AB7:AB19)</f>
        <v>6</v>
      </c>
      <c r="AC20" s="1"/>
      <c r="AD20" s="72">
        <f>SUM(AD7:AD19)</f>
        <v>1</v>
      </c>
      <c r="AE20" s="1"/>
      <c r="AF20" s="72">
        <f>SUM(AF7:AF19)</f>
        <v>19</v>
      </c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212">
        <f>AF20</f>
        <v>19</v>
      </c>
      <c r="BB20" s="213">
        <f>AE19</f>
        <v>3551</v>
      </c>
      <c r="BC20" s="214">
        <f>+S2</f>
        <v>1</v>
      </c>
      <c r="BF20" s="215">
        <f>SUM(BF1:BF19)</f>
        <v>20</v>
      </c>
      <c r="BM20" s="212">
        <f>+BB20/1000000+BA20</f>
        <v>19.003551000000002</v>
      </c>
      <c r="BN20" s="214">
        <f>RANK(BM20,BM:BM)</f>
        <v>2</v>
      </c>
      <c r="BR20" s="214"/>
      <c r="BV20" s="214"/>
    </row>
    <row r="21" spans="1:74" ht="11.25" customHeight="1" x14ac:dyDescent="0.2">
      <c r="B21" s="1"/>
      <c r="C21" s="1"/>
      <c r="D21" s="1"/>
      <c r="E21" s="2"/>
      <c r="F21" s="1"/>
      <c r="G21" s="2"/>
      <c r="H21" s="1"/>
      <c r="I21" s="2"/>
      <c r="J21" s="1"/>
      <c r="K21" s="2"/>
      <c r="L21" s="1"/>
      <c r="M21" s="2"/>
      <c r="N21" s="1"/>
      <c r="O21" s="2"/>
      <c r="S21" s="1"/>
      <c r="T21" s="1"/>
      <c r="U21" s="1"/>
      <c r="V21" s="2"/>
      <c r="W21" s="1"/>
      <c r="X21" s="2"/>
      <c r="Y21" s="1"/>
      <c r="Z21" s="2"/>
      <c r="AA21" s="1"/>
      <c r="AB21" s="2"/>
      <c r="AC21" s="1"/>
      <c r="AD21" s="2"/>
      <c r="AE21" s="1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12"/>
      <c r="BB21" s="213"/>
      <c r="BC21" s="214"/>
      <c r="BM21" s="216"/>
      <c r="BN21" s="214"/>
      <c r="BR21" s="214"/>
      <c r="BV21" s="214"/>
    </row>
    <row r="22" spans="1:74" ht="12.75" customHeight="1" x14ac:dyDescent="0.2">
      <c r="B22" s="13" t="str">
        <f t="shared" ref="B22:M22" si="23">IF(S22=0,"",S22)</f>
        <v>Gegner-Nr.:</v>
      </c>
      <c r="C22" s="5" t="str">
        <f t="shared" si="23"/>
        <v>&gt;&gt;&gt;&gt;</v>
      </c>
      <c r="D22" s="350">
        <f t="shared" si="23"/>
        <v>2</v>
      </c>
      <c r="E22" s="350" t="str">
        <f t="shared" si="23"/>
        <v/>
      </c>
      <c r="F22" s="350">
        <f t="shared" si="23"/>
        <v>6</v>
      </c>
      <c r="G22" s="350" t="str">
        <f t="shared" si="23"/>
        <v/>
      </c>
      <c r="H22" s="350">
        <f t="shared" si="23"/>
        <v>3</v>
      </c>
      <c r="I22" s="350" t="str">
        <f t="shared" si="23"/>
        <v/>
      </c>
      <c r="J22" s="350">
        <f t="shared" si="23"/>
        <v>4</v>
      </c>
      <c r="K22" s="350" t="str">
        <f t="shared" si="23"/>
        <v/>
      </c>
      <c r="L22" s="350">
        <f t="shared" si="23"/>
        <v>5</v>
      </c>
      <c r="M22" s="350" t="str">
        <f t="shared" si="23"/>
        <v/>
      </c>
      <c r="N22" s="351"/>
      <c r="O22" s="351"/>
      <c r="S22" s="13" t="s">
        <v>1789</v>
      </c>
      <c r="T22" s="5" t="s">
        <v>1790</v>
      </c>
      <c r="U22" s="369">
        <f>VLOOKUP($S2,Schlüssel!$A$5:$K$10,3)</f>
        <v>2</v>
      </c>
      <c r="V22" s="370"/>
      <c r="W22" s="369">
        <f>VLOOKUP($S2,Schlüssel!$A$5:$K$10,4)</f>
        <v>6</v>
      </c>
      <c r="X22" s="370"/>
      <c r="Y22" s="369">
        <f>VLOOKUP($S2,Schlüssel!$A$5:$K$10,5)</f>
        <v>3</v>
      </c>
      <c r="Z22" s="370"/>
      <c r="AA22" s="369">
        <f>VLOOKUP($S2,Schlüssel!$A$5:$K$10,6)</f>
        <v>4</v>
      </c>
      <c r="AB22" s="370"/>
      <c r="AC22" s="369">
        <f>VLOOKUP($S2,Schlüssel!$A$5:$K$10,7)</f>
        <v>5</v>
      </c>
      <c r="AD22" s="370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212"/>
      <c r="BB22" s="213"/>
      <c r="BC22" s="214"/>
      <c r="BM22" s="216"/>
      <c r="BN22" s="214"/>
      <c r="BR22" s="214"/>
      <c r="BV22" s="214"/>
    </row>
    <row r="23" spans="1:74" ht="28.5" customHeight="1" x14ac:dyDescent="0.2">
      <c r="B23" s="4" t="str">
        <f t="shared" ref="B23:K24" si="24">IF(S23=0,"",S23)</f>
        <v/>
      </c>
      <c r="C23" s="1" t="str">
        <f t="shared" si="24"/>
        <v/>
      </c>
      <c r="D23" s="347" t="str">
        <f t="shared" si="24"/>
        <v>Herzogenaurach 1</v>
      </c>
      <c r="E23" s="348" t="str">
        <f t="shared" si="24"/>
        <v/>
      </c>
      <c r="F23" s="347" t="str">
        <f t="shared" si="24"/>
        <v>Adler Nürnberg 1</v>
      </c>
      <c r="G23" s="348" t="str">
        <f t="shared" si="24"/>
        <v/>
      </c>
      <c r="H23" s="347" t="str">
        <f t="shared" si="24"/>
        <v>Kings Club Bayreuth Land 2</v>
      </c>
      <c r="I23" s="348" t="str">
        <f t="shared" si="24"/>
        <v/>
      </c>
      <c r="J23" s="347" t="str">
        <f t="shared" si="24"/>
        <v>Kings Club Bayreuth Land 3</v>
      </c>
      <c r="K23" s="348" t="str">
        <f t="shared" si="24"/>
        <v/>
      </c>
      <c r="L23" s="347" t="str">
        <f>IF(AC23=0,"",AC23)</f>
        <v>Castra Regina Regensburg 2</v>
      </c>
      <c r="M23" s="348" t="str">
        <f>IF(AD23=0,"",AD23)</f>
        <v/>
      </c>
      <c r="N23" s="349"/>
      <c r="O23" s="349"/>
      <c r="S23" s="4"/>
      <c r="T23" s="1"/>
      <c r="U23" s="347" t="str">
        <f>VLOOKUP(U22,Schlüssel!$A$5:$K$10,2)</f>
        <v>Herzogenaurach 1</v>
      </c>
      <c r="V23" s="348"/>
      <c r="W23" s="347" t="str">
        <f>VLOOKUP(W22,Schlüssel!$A$5:$K$10,2)</f>
        <v>Adler Nürnberg 1</v>
      </c>
      <c r="X23" s="348"/>
      <c r="Y23" s="347" t="str">
        <f>VLOOKUP(Y22,Schlüssel!$A$5:$K$10,2)</f>
        <v>Kings Club Bayreuth Land 2</v>
      </c>
      <c r="Z23" s="348"/>
      <c r="AA23" s="347" t="str">
        <f>VLOOKUP(AA22,Schlüssel!$A$5:$K$10,2)</f>
        <v>Kings Club Bayreuth Land 3</v>
      </c>
      <c r="AB23" s="348"/>
      <c r="AC23" s="347" t="str">
        <f>VLOOKUP(AC22,Schlüssel!$A$5:$K$10,2)</f>
        <v>Castra Regina Regensburg 2</v>
      </c>
      <c r="AD23" s="348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212"/>
      <c r="BB23" s="213"/>
      <c r="BC23" s="214"/>
      <c r="BM23" s="216"/>
      <c r="BN23" s="214"/>
      <c r="BR23" s="214"/>
      <c r="BV23" s="214"/>
    </row>
    <row r="24" spans="1:74" ht="12" customHeight="1" x14ac:dyDescent="0.2">
      <c r="B24" s="4" t="str">
        <f t="shared" si="24"/>
        <v/>
      </c>
      <c r="C24" s="1" t="str">
        <f t="shared" si="24"/>
        <v/>
      </c>
      <c r="D24" s="346" t="str">
        <f t="shared" si="24"/>
        <v/>
      </c>
      <c r="E24" s="346" t="str">
        <f t="shared" si="24"/>
        <v/>
      </c>
      <c r="F24" s="346" t="str">
        <f t="shared" si="24"/>
        <v/>
      </c>
      <c r="G24" s="346" t="str">
        <f t="shared" si="24"/>
        <v/>
      </c>
      <c r="H24" s="346" t="str">
        <f t="shared" si="24"/>
        <v/>
      </c>
      <c r="I24" s="346" t="str">
        <f t="shared" si="24"/>
        <v/>
      </c>
      <c r="J24" s="346" t="str">
        <f t="shared" si="24"/>
        <v/>
      </c>
      <c r="K24" s="346" t="str">
        <f t="shared" si="24"/>
        <v/>
      </c>
      <c r="L24" s="346" t="str">
        <f>IF(AC24=0,"",AC24)</f>
        <v/>
      </c>
      <c r="M24" s="346" t="str">
        <f>IF(AD24=0,"",AD24)</f>
        <v/>
      </c>
      <c r="N24" s="310"/>
      <c r="O24" s="310"/>
      <c r="S24" s="4"/>
      <c r="T24" s="1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212"/>
      <c r="BB24" s="213"/>
      <c r="BC24" s="214"/>
      <c r="BM24" s="216"/>
      <c r="BN24" s="214"/>
      <c r="BR24" s="214"/>
      <c r="BV24" s="214"/>
    </row>
    <row r="25" spans="1:74" ht="15.95" customHeight="1" x14ac:dyDescent="0.2">
      <c r="B25" s="371" t="str">
        <f t="shared" ref="B25:C29" si="25">IF(S25=0,"",S25)</f>
        <v>Spieler 1</v>
      </c>
      <c r="C25" s="372" t="str">
        <f t="shared" si="25"/>
        <v/>
      </c>
      <c r="D25" s="344">
        <f>IF(U25=301,"",U25)</f>
        <v>173</v>
      </c>
      <c r="E25" s="344" t="str">
        <f>IF(V25=0,"",V25)</f>
        <v/>
      </c>
      <c r="F25" s="344">
        <f>IF(W25=301,"",W25)</f>
        <v>168</v>
      </c>
      <c r="G25" s="344" t="str">
        <f>IF(X25=0,"",X25)</f>
        <v/>
      </c>
      <c r="H25" s="344">
        <f>IF(Y25=301,"",Y25)</f>
        <v>203</v>
      </c>
      <c r="I25" s="344" t="str">
        <f>IF(Z25=0,"",Z25)</f>
        <v/>
      </c>
      <c r="J25" s="344">
        <f>IF(AA25=301,"",AA25)</f>
        <v>128</v>
      </c>
      <c r="K25" s="344" t="str">
        <f>IF(AB25=0,"",AB25)</f>
        <v/>
      </c>
      <c r="L25" s="344">
        <f>IF(AC25=301,"",AC25)</f>
        <v>175</v>
      </c>
      <c r="M25" s="344" t="str">
        <f>IF(AD25=0,"",AD25)</f>
        <v/>
      </c>
      <c r="N25" s="345"/>
      <c r="O25" s="345"/>
      <c r="S25" s="35" t="s">
        <v>0</v>
      </c>
      <c r="T25" s="36"/>
      <c r="U25" s="367">
        <f>ABS(INDEX(U:U,MATCH(U22,$S:$S,0)+5)+INDEX(U:U,MATCH(U22,$S:$S,0)+6)+INDEX(U:U,MATCH(U22,$S:$S,0)+7))</f>
        <v>173</v>
      </c>
      <c r="V25" s="368"/>
      <c r="W25" s="367">
        <f>ABS(INDEX(W:W,MATCH(W22,$S:$S,0)+5)+INDEX(W:W,MATCH(W22,$S:$S,0)+6)+INDEX(W:W,MATCH(W22,$S:$S,0)+7))</f>
        <v>168</v>
      </c>
      <c r="X25" s="368"/>
      <c r="Y25" s="367">
        <f>ABS(INDEX(Y:Y,MATCH(Y22,$S:$S,0)+5)+INDEX(Y:Y,MATCH(Y22,$S:$S,0)+6)+INDEX(Y:Y,MATCH(Y22,$S:$S,0)+7))</f>
        <v>203</v>
      </c>
      <c r="Z25" s="368"/>
      <c r="AA25" s="367">
        <f>ABS(INDEX(AA:AA,MATCH(AA22,$S:$S,0)+5)+INDEX(AA:AA,MATCH(AA22,$S:$S,0)+6)+INDEX(AA:AA,MATCH(AA22,$S:$S,0)+7))</f>
        <v>128</v>
      </c>
      <c r="AB25" s="368"/>
      <c r="AC25" s="367">
        <f>ABS(INDEX(AC:AC,MATCH(AC22,$S:$S,0)+5)+INDEX(AC:AC,MATCH(AC22,$S:$S,0)+6)+INDEX(AC:AC,MATCH(AC22,$S:$S,0)+7))</f>
        <v>175</v>
      </c>
      <c r="AD25" s="368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12"/>
      <c r="BB25" s="213"/>
      <c r="BC25" s="214"/>
      <c r="BM25" s="216"/>
      <c r="BN25" s="214"/>
      <c r="BR25" s="214"/>
      <c r="BV25" s="214"/>
    </row>
    <row r="26" spans="1:74" ht="15.95" customHeight="1" x14ac:dyDescent="0.2">
      <c r="B26" s="371" t="str">
        <f t="shared" si="25"/>
        <v>Spieler 2</v>
      </c>
      <c r="C26" s="372" t="str">
        <f t="shared" si="25"/>
        <v/>
      </c>
      <c r="D26" s="344">
        <f>IF(U26=301,"",U26)</f>
        <v>178</v>
      </c>
      <c r="E26" s="344" t="str">
        <f>IF(V26=0,"",V26)</f>
        <v/>
      </c>
      <c r="F26" s="344">
        <f>IF(W26=301,"",W26)</f>
        <v>178</v>
      </c>
      <c r="G26" s="344" t="str">
        <f>IF(X26=0,"",X26)</f>
        <v/>
      </c>
      <c r="H26" s="344">
        <f>IF(Y26=301,"",Y26)</f>
        <v>98</v>
      </c>
      <c r="I26" s="344" t="str">
        <f>IF(Z26=0,"",Z26)</f>
        <v/>
      </c>
      <c r="J26" s="344">
        <f>IF(AA26=301,"",AA26)</f>
        <v>121</v>
      </c>
      <c r="K26" s="344" t="str">
        <f>IF(AB26=0,"",AB26)</f>
        <v/>
      </c>
      <c r="L26" s="344">
        <f>IF(AC26=301,"",AC26)</f>
        <v>192</v>
      </c>
      <c r="M26" s="344" t="str">
        <f>IF(AD26=0,"",AD26)</f>
        <v/>
      </c>
      <c r="N26" s="345"/>
      <c r="O26" s="345"/>
      <c r="S26" s="35" t="s">
        <v>2</v>
      </c>
      <c r="T26" s="36"/>
      <c r="U26" s="365">
        <f>ABS(INDEX(U:U,MATCH(U22,$S:$S,0)+8)+INDEX(U:U,MATCH(U22,$S:$S,0)+9)+INDEX(U:U,MATCH(U22,$S:$S,0)+10))</f>
        <v>178</v>
      </c>
      <c r="V26" s="366"/>
      <c r="W26" s="365">
        <f>ABS(INDEX(W:W,MATCH(W22,$S:$S,0)+8)+INDEX(W:W,MATCH(W22,$S:$S,0)+9)+INDEX(W:W,MATCH(W22,$S:$S,0)+10))</f>
        <v>178</v>
      </c>
      <c r="X26" s="366"/>
      <c r="Y26" s="365">
        <f>ABS(INDEX(Y:Y,MATCH(Y22,$S:$S,0)+8)+INDEX(Y:Y,MATCH(Y22,$S:$S,0)+9)+INDEX(Y:Y,MATCH(Y22,$S:$S,0)+10))</f>
        <v>98</v>
      </c>
      <c r="Z26" s="366"/>
      <c r="AA26" s="365">
        <f>ABS(INDEX(AA:AA,MATCH(AA22,$S:$S,0)+8)+INDEX(AA:AA,MATCH(AA22,$S:$S,0)+9)+INDEX(AA:AA,MATCH(AA22,$S:$S,0)+10))</f>
        <v>121</v>
      </c>
      <c r="AB26" s="366"/>
      <c r="AC26" s="365">
        <f>ABS(INDEX(AC:AC,MATCH(AC22,$S:$S,0)+8)+INDEX(AC:AC,MATCH(AC22,$S:$S,0)+9)+INDEX(AC:AC,MATCH(AC22,$S:$S,0)+10))</f>
        <v>192</v>
      </c>
      <c r="AD26" s="36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12"/>
      <c r="BB26" s="213"/>
      <c r="BC26" s="214"/>
      <c r="BM26" s="216"/>
      <c r="BN26" s="214"/>
      <c r="BR26" s="214"/>
      <c r="BV26" s="214"/>
    </row>
    <row r="27" spans="1:74" ht="15.95" customHeight="1" x14ac:dyDescent="0.2">
      <c r="B27" s="371" t="str">
        <f t="shared" si="25"/>
        <v>Spieler 3</v>
      </c>
      <c r="C27" s="372" t="str">
        <f t="shared" si="25"/>
        <v/>
      </c>
      <c r="D27" s="344">
        <f>IF(U27=301,"",U27)</f>
        <v>160</v>
      </c>
      <c r="E27" s="344" t="str">
        <f>IF(V27=0,"",V27)</f>
        <v/>
      </c>
      <c r="F27" s="344">
        <f>IF(W27=301,"",W27)</f>
        <v>155</v>
      </c>
      <c r="G27" s="344" t="str">
        <f>IF(X27=0,"",X27)</f>
        <v/>
      </c>
      <c r="H27" s="344">
        <f>IF(Y27=301,"",Y27)</f>
        <v>160</v>
      </c>
      <c r="I27" s="344" t="str">
        <f>IF(Z27=0,"",Z27)</f>
        <v/>
      </c>
      <c r="J27" s="344">
        <f>IF(AA27=301,"",AA27)</f>
        <v>192</v>
      </c>
      <c r="K27" s="344" t="str">
        <f>IF(AB27=0,"",AB27)</f>
        <v/>
      </c>
      <c r="L27" s="344">
        <f>IF(AC27=301,"",AC27)</f>
        <v>181</v>
      </c>
      <c r="M27" s="344" t="str">
        <f>IF(AD27=0,"",AD27)</f>
        <v/>
      </c>
      <c r="N27" s="345"/>
      <c r="O27" s="345"/>
      <c r="S27" s="35" t="s">
        <v>3</v>
      </c>
      <c r="T27" s="36"/>
      <c r="U27" s="365">
        <f>ABS(INDEX(U:U,MATCH(U22,$S:$S,0)+11)+INDEX(U:U,MATCH(U22,$S:$S,0)+12)+INDEX(U:U,MATCH(U22,$S:$S,0)+13))</f>
        <v>160</v>
      </c>
      <c r="V27" s="366"/>
      <c r="W27" s="365">
        <f>ABS(INDEX(W:W,MATCH(W22,$S:$S,0)+11)+INDEX(W:W,MATCH(W22,$S:$S,0)+12)+INDEX(W:W,MATCH(W22,$S:$S,0)+13))</f>
        <v>155</v>
      </c>
      <c r="X27" s="366"/>
      <c r="Y27" s="365">
        <f>ABS(INDEX(Y:Y,MATCH(Y22,$S:$S,0)+11)+INDEX(Y:Y,MATCH(Y22,$S:$S,0)+12)+INDEX(Y:Y,MATCH(Y22,$S:$S,0)+13))</f>
        <v>160</v>
      </c>
      <c r="Z27" s="366"/>
      <c r="AA27" s="365">
        <f>ABS(INDEX(AA:AA,MATCH(AA22,$S:$S,0)+11)+INDEX(AA:AA,MATCH(AA22,$S:$S,0)+12)+INDEX(AA:AA,MATCH(AA22,$S:$S,0)+13))</f>
        <v>192</v>
      </c>
      <c r="AB27" s="366"/>
      <c r="AC27" s="365">
        <f>ABS(INDEX(AC:AC,MATCH(AC22,$S:$S,0)+11)+INDEX(AC:AC,MATCH(AC22,$S:$S,0)+12)+INDEX(AC:AC,MATCH(AC22,$S:$S,0)+13))</f>
        <v>181</v>
      </c>
      <c r="AD27" s="36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12"/>
      <c r="BB27" s="213"/>
      <c r="BC27" s="214"/>
      <c r="BM27" s="216"/>
      <c r="BN27" s="214"/>
      <c r="BR27" s="214"/>
      <c r="BV27" s="214"/>
    </row>
    <row r="28" spans="1:74" ht="15.95" customHeight="1" x14ac:dyDescent="0.2">
      <c r="B28" s="371" t="str">
        <f t="shared" si="25"/>
        <v>Spieler 4</v>
      </c>
      <c r="C28" s="372" t="str">
        <f t="shared" si="25"/>
        <v/>
      </c>
      <c r="D28" s="344">
        <f>IF(U28=301,"",U28)</f>
        <v>148</v>
      </c>
      <c r="E28" s="344" t="str">
        <f>IF(V28=0,"",V28)</f>
        <v/>
      </c>
      <c r="F28" s="344">
        <f>IF(W28=301,"",W28)</f>
        <v>177</v>
      </c>
      <c r="G28" s="344" t="str">
        <f>IF(X28=0,"",X28)</f>
        <v/>
      </c>
      <c r="H28" s="344">
        <f>IF(Y28=301,"",Y28)</f>
        <v>172</v>
      </c>
      <c r="I28" s="344" t="str">
        <f>IF(Z28=0,"",Z28)</f>
        <v/>
      </c>
      <c r="J28" s="344">
        <f>IF(AA28=301,"",AA28)</f>
        <v>178</v>
      </c>
      <c r="K28" s="344" t="str">
        <f>IF(AB28=0,"",AB28)</f>
        <v/>
      </c>
      <c r="L28" s="344">
        <f>IF(AC28=301,"",AC28)</f>
        <v>222</v>
      </c>
      <c r="M28" s="344" t="str">
        <f>IF(AD28=0,"",AD28)</f>
        <v/>
      </c>
      <c r="N28" s="345"/>
      <c r="O28" s="345"/>
      <c r="S28" s="35" t="s">
        <v>11</v>
      </c>
      <c r="T28" s="36"/>
      <c r="U28" s="365">
        <f>ABS(INDEX(U:U,MATCH(U22,$S:$S,0)+14)+INDEX(U:U,MATCH(U22,$S:$S,0)+15)+INDEX(U:U,MATCH(U22,$S:$S,0)+16))</f>
        <v>148</v>
      </c>
      <c r="V28" s="366"/>
      <c r="W28" s="365">
        <f>ABS(INDEX(W:W,MATCH(W22,$S:$S,0)+14)+INDEX(W:W,MATCH(W22,$S:$S,0)+15)+INDEX(W:W,MATCH(W22,$S:$S,0)+16))</f>
        <v>177</v>
      </c>
      <c r="X28" s="366"/>
      <c r="Y28" s="365">
        <f>ABS(INDEX(Y:Y,MATCH(Y22,$S:$S,0)+14)+INDEX(Y:Y,MATCH(Y22,$S:$S,0)+15)+INDEX(Y:Y,MATCH(Y22,$S:$S,0)+16))</f>
        <v>172</v>
      </c>
      <c r="Z28" s="366"/>
      <c r="AA28" s="365">
        <f>ABS(INDEX(AA:AA,MATCH(AA22,$S:$S,0)+14)+INDEX(AA:AA,MATCH(AA22,$S:$S,0)+15)+INDEX(AA:AA,MATCH(AA22,$S:$S,0)+16))</f>
        <v>178</v>
      </c>
      <c r="AB28" s="366"/>
      <c r="AC28" s="365">
        <f>ABS(INDEX(AC:AC,MATCH(AC22,$S:$S,0)+14)+INDEX(AC:AC,MATCH(AC22,$S:$S,0)+15)+INDEX(AC:AC,MATCH(AC22,$S:$S,0)+16))</f>
        <v>222</v>
      </c>
      <c r="AD28" s="36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12"/>
      <c r="BB28" s="213"/>
      <c r="BC28" s="214"/>
      <c r="BM28" s="216"/>
      <c r="BN28" s="214"/>
      <c r="BR28" s="214"/>
      <c r="BV28" s="214"/>
    </row>
    <row r="29" spans="1:74" ht="15.95" customHeight="1" x14ac:dyDescent="0.2">
      <c r="B29" s="359" t="str">
        <f t="shared" si="25"/>
        <v>Gesamt</v>
      </c>
      <c r="C29" s="360" t="str">
        <f t="shared" si="25"/>
        <v/>
      </c>
      <c r="D29" s="343">
        <f>IF(U29=1505,"",U29)</f>
        <v>659</v>
      </c>
      <c r="E29" s="343" t="str">
        <f>IF(V29=0,"",V29)</f>
        <v/>
      </c>
      <c r="F29" s="343">
        <f>IF(W29=1505,"",W29)</f>
        <v>678</v>
      </c>
      <c r="G29" s="343" t="str">
        <f>IF(X29=0,"",X29)</f>
        <v/>
      </c>
      <c r="H29" s="343">
        <f>IF(Y29=1505,"",Y29)</f>
        <v>633</v>
      </c>
      <c r="I29" s="343" t="str">
        <f>IF(Z29=0,"",Z29)</f>
        <v/>
      </c>
      <c r="J29" s="343">
        <f>IF(AA29=1505,"",AA29)</f>
        <v>619</v>
      </c>
      <c r="K29" s="343" t="str">
        <f>IF(AB29=0,"",AB29)</f>
        <v/>
      </c>
      <c r="L29" s="343">
        <f>IF(AC29=1505,"",AC29)</f>
        <v>770</v>
      </c>
      <c r="M29" s="343" t="str">
        <f>IF(AD29=0,"",AD29)</f>
        <v/>
      </c>
      <c r="N29" s="298"/>
      <c r="O29" s="298"/>
      <c r="S29" s="37" t="s">
        <v>1791</v>
      </c>
      <c r="T29" s="38"/>
      <c r="U29" s="359">
        <f>SUM(U25:U28)</f>
        <v>659</v>
      </c>
      <c r="V29" s="360"/>
      <c r="W29" s="359">
        <f>SUM(W25:W28)</f>
        <v>678</v>
      </c>
      <c r="X29" s="360"/>
      <c r="Y29" s="359">
        <f>SUM(Y25:Y28)</f>
        <v>633</v>
      </c>
      <c r="Z29" s="360"/>
      <c r="AA29" s="359">
        <f>SUM(AA25:AA28)</f>
        <v>619</v>
      </c>
      <c r="AB29" s="360"/>
      <c r="AC29" s="359">
        <f>SUM(AC25:AC28)</f>
        <v>770</v>
      </c>
      <c r="AD29" s="360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212"/>
      <c r="BB29" s="213"/>
      <c r="BC29" s="214"/>
      <c r="BM29" s="216"/>
      <c r="BN29" s="214"/>
      <c r="BR29" s="214"/>
      <c r="BV29" s="214"/>
    </row>
    <row r="30" spans="1:74" ht="10.5" customHeight="1" x14ac:dyDescent="0.2">
      <c r="B30" s="3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3"/>
      <c r="T30" s="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12"/>
      <c r="BB30" s="213"/>
      <c r="BC30" s="214"/>
      <c r="BM30" s="216"/>
      <c r="BN30" s="214"/>
      <c r="BR30" s="214"/>
      <c r="BV30" s="214"/>
    </row>
    <row r="31" spans="1:74" ht="21" customHeight="1" x14ac:dyDescent="0.35">
      <c r="B31" s="7" t="str">
        <f>S31</f>
        <v>Team-Nr.</v>
      </c>
      <c r="C31" s="25"/>
      <c r="D31" s="7" t="str">
        <f>U31</f>
        <v>Liga:</v>
      </c>
      <c r="E31" s="77" t="str">
        <f>V31</f>
        <v>Bezirksliga N1 Männer</v>
      </c>
      <c r="F31" s="25"/>
      <c r="G31" s="25"/>
      <c r="H31" s="25"/>
      <c r="I31" s="25"/>
      <c r="J31" s="25"/>
      <c r="K31" s="25"/>
      <c r="L31" s="25"/>
      <c r="M31" s="376" t="str">
        <f>AD31</f>
        <v>13.10.</v>
      </c>
      <c r="N31" s="376"/>
      <c r="O31" s="376"/>
      <c r="P31" s="377"/>
      <c r="Q31" s="377"/>
      <c r="R31" s="377"/>
      <c r="S31" s="7" t="s">
        <v>1801</v>
      </c>
      <c r="T31" s="25"/>
      <c r="U31" s="30" t="s">
        <v>1785</v>
      </c>
      <c r="V31" s="77" t="str">
        <f>Schlüssel!$C$1</f>
        <v>Bezirksliga N1 Männer</v>
      </c>
      <c r="X31" s="25"/>
      <c r="Y31" s="25"/>
      <c r="Z31" s="25"/>
      <c r="AA31" s="25"/>
      <c r="AC31" s="29"/>
      <c r="AD31" s="358" t="str">
        <f>Schlüssel!$M$1</f>
        <v>13.10.</v>
      </c>
      <c r="AE31" s="358"/>
      <c r="AF31" s="358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212" t="s">
        <v>2078</v>
      </c>
      <c r="BB31" s="213" t="s">
        <v>1799</v>
      </c>
      <c r="BC31" s="214" t="s">
        <v>1823</v>
      </c>
      <c r="BD31" s="215" t="s">
        <v>1814</v>
      </c>
      <c r="BE31" s="215" t="s">
        <v>1799</v>
      </c>
      <c r="BF31" s="215" t="s">
        <v>1819</v>
      </c>
      <c r="BG31" s="215" t="s">
        <v>1815</v>
      </c>
      <c r="BH31" s="215" t="s">
        <v>2079</v>
      </c>
      <c r="BI31" s="215" t="s">
        <v>2080</v>
      </c>
      <c r="BJ31" s="215" t="s">
        <v>2081</v>
      </c>
      <c r="BK31" s="215" t="s">
        <v>2082</v>
      </c>
      <c r="BL31" s="215" t="s">
        <v>2083</v>
      </c>
      <c r="BM31" s="216" t="s">
        <v>2084</v>
      </c>
      <c r="BN31" s="214" t="s">
        <v>1820</v>
      </c>
      <c r="BO31" s="215" t="s">
        <v>2085</v>
      </c>
      <c r="BP31" s="215" t="s">
        <v>2086</v>
      </c>
      <c r="BQ31" s="215" t="s">
        <v>1823</v>
      </c>
      <c r="BR31" s="214" t="s">
        <v>1820</v>
      </c>
      <c r="BS31" s="216" t="s">
        <v>2087</v>
      </c>
      <c r="BT31" s="215" t="s">
        <v>2088</v>
      </c>
      <c r="BU31" s="215" t="s">
        <v>2089</v>
      </c>
      <c r="BV31" s="214" t="s">
        <v>1820</v>
      </c>
    </row>
    <row r="32" spans="1:74" ht="17.25" customHeight="1" thickBot="1" x14ac:dyDescent="0.3">
      <c r="B32" s="50">
        <f>S32</f>
        <v>2</v>
      </c>
      <c r="D32" s="30" t="s">
        <v>1786</v>
      </c>
      <c r="E32" s="84" t="str">
        <f>V32</f>
        <v>Nürnberg West Bowling</v>
      </c>
      <c r="F32" s="77"/>
      <c r="G32" s="77"/>
      <c r="H32" s="77"/>
      <c r="I32" s="77"/>
      <c r="J32" s="77"/>
      <c r="K32" s="77"/>
      <c r="L32" s="29" t="str">
        <f>AC32</f>
        <v>Spieltag:</v>
      </c>
      <c r="M32" s="86">
        <f>AD32</f>
        <v>1</v>
      </c>
      <c r="N32" s="28"/>
      <c r="R32" s="49"/>
      <c r="S32" s="50">
        <v>2</v>
      </c>
      <c r="U32" s="30" t="s">
        <v>1786</v>
      </c>
      <c r="V32" s="84" t="str">
        <f>Schlüssel!$C$2</f>
        <v>Nürnberg West Bowling</v>
      </c>
      <c r="X32" s="77"/>
      <c r="Y32" s="77"/>
      <c r="Z32" s="77"/>
      <c r="AA32" s="77"/>
      <c r="AB32" s="77"/>
      <c r="AC32" s="29" t="s">
        <v>1784</v>
      </c>
      <c r="AD32" s="34">
        <v>1</v>
      </c>
      <c r="AE32" s="28"/>
      <c r="BA32" s="212"/>
      <c r="BB32" s="213"/>
      <c r="BC32" s="214"/>
      <c r="BM32" s="216"/>
      <c r="BN32" s="214"/>
      <c r="BR32" s="214"/>
      <c r="BS32" s="216"/>
      <c r="BV32" s="214"/>
    </row>
    <row r="33" spans="1:74" ht="15.75" customHeight="1" thickBot="1" x14ac:dyDescent="0.25">
      <c r="B33" s="32" t="str">
        <f>VLOOKUP(B32,Schlüssel!$A$5:$B$10,2)</f>
        <v>Herzogenaurach 1</v>
      </c>
      <c r="C33" s="31"/>
      <c r="D33" s="42"/>
      <c r="E33" s="46"/>
      <c r="F33" s="48"/>
      <c r="G33" s="27"/>
      <c r="H33" s="27"/>
      <c r="I33" s="27"/>
      <c r="J33" s="27"/>
      <c r="K33" s="27"/>
      <c r="L33" s="27"/>
      <c r="M33" s="85"/>
      <c r="S33" s="32" t="str">
        <f>VLOOKUP(S32,Schlüssel!$A$5:$B$10,2)</f>
        <v>Herzogenaurach 1</v>
      </c>
      <c r="T33" s="31"/>
      <c r="U33" s="31"/>
      <c r="V33" s="190"/>
      <c r="W33" s="61"/>
      <c r="BA33" s="212"/>
      <c r="BB33" s="213"/>
      <c r="BC33" s="214"/>
      <c r="BM33" s="216"/>
      <c r="BN33" s="214"/>
      <c r="BR33" s="214"/>
      <c r="BS33" s="216"/>
      <c r="BV33" s="214"/>
    </row>
    <row r="34" spans="1:74" ht="13.5" thickBot="1" x14ac:dyDescent="0.25">
      <c r="A34" s="33"/>
      <c r="B34" s="7"/>
      <c r="C34" s="39"/>
      <c r="D34" s="43" t="s">
        <v>10</v>
      </c>
      <c r="E34" s="7">
        <f>VLOOKUP($B$2,Schlüssel!$A$5:$DZ$10,13)</f>
        <v>1</v>
      </c>
      <c r="F34" s="47" t="s">
        <v>10</v>
      </c>
      <c r="G34" s="7">
        <f>VLOOKUP($B$2,Schlüssel!$A$5:$DZ$10,14)</f>
        <v>3</v>
      </c>
      <c r="H34" s="47" t="s">
        <v>10</v>
      </c>
      <c r="I34" s="7">
        <f>VLOOKUP($B$2,Schlüssel!$A$5:$DZ$10,15)</f>
        <v>2</v>
      </c>
      <c r="J34" s="47" t="s">
        <v>10</v>
      </c>
      <c r="K34" s="7">
        <f>VLOOKUP($B$2,Schlüssel!$A$5:$DZ$10,16)</f>
        <v>4</v>
      </c>
      <c r="L34" s="47" t="s">
        <v>10</v>
      </c>
      <c r="M34" s="7">
        <f>VLOOKUP($B$2,Schlüssel!$A$5:$DZ$10,17)</f>
        <v>1</v>
      </c>
      <c r="R34" s="6"/>
      <c r="S34" s="7"/>
      <c r="T34" s="39"/>
      <c r="U34" s="194" t="s">
        <v>10</v>
      </c>
      <c r="V34" s="191">
        <f>VLOOKUP($S32,Schlüssel!$A$5:$DZ$10,13)</f>
        <v>2</v>
      </c>
      <c r="W34" s="193" t="s">
        <v>10</v>
      </c>
      <c r="X34" s="191">
        <f>VLOOKUP($S32,Schlüssel!$A$5:$DZ$10,14)</f>
        <v>5</v>
      </c>
      <c r="Y34" s="193" t="s">
        <v>10</v>
      </c>
      <c r="Z34" s="191">
        <f>VLOOKUP($S32,Schlüssel!$A$5:$DZ$10,15)</f>
        <v>3</v>
      </c>
      <c r="AA34" s="193" t="s">
        <v>10</v>
      </c>
      <c r="AB34" s="191">
        <f>VLOOKUP($S32,Schlüssel!$A$5:$DZ$10,16)</f>
        <v>1</v>
      </c>
      <c r="AC34" s="193" t="s">
        <v>10</v>
      </c>
      <c r="AD34" s="192">
        <f>VLOOKUP($S32,Schlüssel!$A$5:$DZ$10,17)</f>
        <v>6</v>
      </c>
      <c r="BA34" s="212"/>
      <c r="BB34" s="213"/>
      <c r="BC34" s="214"/>
      <c r="BM34" s="216"/>
      <c r="BN34" s="214"/>
      <c r="BR34" s="214"/>
      <c r="BS34" s="216"/>
      <c r="BV34" s="214"/>
    </row>
    <row r="35" spans="1:74" ht="20.25" customHeight="1" x14ac:dyDescent="0.2">
      <c r="B35" s="40" t="s">
        <v>1</v>
      </c>
      <c r="C35" s="41"/>
      <c r="D35" s="359" t="s">
        <v>1792</v>
      </c>
      <c r="E35" s="360"/>
      <c r="F35" s="359" t="s">
        <v>1793</v>
      </c>
      <c r="G35" s="360"/>
      <c r="H35" s="359" t="s">
        <v>1794</v>
      </c>
      <c r="I35" s="360"/>
      <c r="J35" s="359" t="s">
        <v>1795</v>
      </c>
      <c r="K35" s="360"/>
      <c r="L35" s="359" t="s">
        <v>1796</v>
      </c>
      <c r="M35" s="360"/>
      <c r="N35" s="361" t="s">
        <v>1791</v>
      </c>
      <c r="O35" s="362"/>
      <c r="S35" s="40" t="s">
        <v>1</v>
      </c>
      <c r="T35" s="41"/>
      <c r="U35" s="359" t="s">
        <v>1792</v>
      </c>
      <c r="V35" s="360"/>
      <c r="W35" s="359" t="s">
        <v>1793</v>
      </c>
      <c r="X35" s="360"/>
      <c r="Y35" s="359" t="s">
        <v>1794</v>
      </c>
      <c r="Z35" s="360"/>
      <c r="AA35" s="359" t="s">
        <v>1795</v>
      </c>
      <c r="AB35" s="360"/>
      <c r="AC35" s="359" t="s">
        <v>1796</v>
      </c>
      <c r="AD35" s="363"/>
      <c r="AE35" s="364" t="s">
        <v>1791</v>
      </c>
      <c r="AF35" s="36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212"/>
      <c r="BB35" s="213"/>
      <c r="BC35" s="214"/>
      <c r="BM35" s="216"/>
      <c r="BN35" s="214"/>
      <c r="BR35" s="214"/>
      <c r="BV35" s="214"/>
    </row>
    <row r="36" spans="1:74" ht="15" customHeight="1" thickBot="1" x14ac:dyDescent="0.25">
      <c r="B36" s="9" t="s">
        <v>1797</v>
      </c>
      <c r="C36" s="44" t="s">
        <v>1798</v>
      </c>
      <c r="D36" s="45" t="s">
        <v>1799</v>
      </c>
      <c r="E36" s="45" t="s">
        <v>1800</v>
      </c>
      <c r="F36" s="45" t="s">
        <v>1799</v>
      </c>
      <c r="G36" s="45" t="s">
        <v>1800</v>
      </c>
      <c r="H36" s="45" t="s">
        <v>1799</v>
      </c>
      <c r="I36" s="45" t="s">
        <v>1800</v>
      </c>
      <c r="J36" s="45" t="s">
        <v>1799</v>
      </c>
      <c r="K36" s="45" t="s">
        <v>1800</v>
      </c>
      <c r="L36" s="45" t="s">
        <v>1799</v>
      </c>
      <c r="M36" s="45" t="s">
        <v>1800</v>
      </c>
      <c r="N36" s="45" t="s">
        <v>1799</v>
      </c>
      <c r="O36" s="10" t="s">
        <v>1800</v>
      </c>
      <c r="S36" s="9" t="s">
        <v>1797</v>
      </c>
      <c r="T36" s="44" t="s">
        <v>1798</v>
      </c>
      <c r="U36" s="45" t="s">
        <v>1799</v>
      </c>
      <c r="V36" s="45" t="s">
        <v>1800</v>
      </c>
      <c r="W36" s="45" t="s">
        <v>1799</v>
      </c>
      <c r="X36" s="45" t="s">
        <v>1800</v>
      </c>
      <c r="Y36" s="45" t="s">
        <v>1799</v>
      </c>
      <c r="Z36" s="45" t="s">
        <v>1800</v>
      </c>
      <c r="AA36" s="45" t="s">
        <v>1799</v>
      </c>
      <c r="AB36" s="45" t="s">
        <v>1800</v>
      </c>
      <c r="AC36" s="45" t="s">
        <v>1799</v>
      </c>
      <c r="AD36" s="45" t="s">
        <v>1800</v>
      </c>
      <c r="AE36" s="9" t="s">
        <v>1799</v>
      </c>
      <c r="AF36" s="10" t="s">
        <v>1800</v>
      </c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212"/>
      <c r="BB36" s="213"/>
      <c r="BC36" s="214"/>
      <c r="BM36" s="216"/>
      <c r="BN36" s="214"/>
      <c r="BR36" s="214"/>
      <c r="BV36" s="214"/>
    </row>
    <row r="37" spans="1:74" ht="17.100000000000001" customHeight="1" x14ac:dyDescent="0.2">
      <c r="A37" s="373" t="s">
        <v>0</v>
      </c>
      <c r="B37" s="17" t="str">
        <f>IF(S37=0,"",S37)</f>
        <v>Voss, Horst</v>
      </c>
      <c r="C37" s="18">
        <f>IF(T37=0,"",T37)</f>
        <v>7282</v>
      </c>
      <c r="D37" s="14">
        <f>IF(U37=0,"",U37)</f>
        <v>173</v>
      </c>
      <c r="E37" s="352">
        <f>IF(V37="","",V37)</f>
        <v>0</v>
      </c>
      <c r="F37" s="14">
        <f t="shared" ref="F37:F50" si="26">IF(W37=0,"",W37)</f>
        <v>160</v>
      </c>
      <c r="G37" s="352">
        <f>IF(X37="","",X37)</f>
        <v>0</v>
      </c>
      <c r="H37" s="14">
        <f t="shared" ref="H37:H50" si="27">IF(Y37=0,"",Y37)</f>
        <v>173</v>
      </c>
      <c r="I37" s="352">
        <f>IF(Z37="","",Z37)</f>
        <v>1</v>
      </c>
      <c r="J37" s="14">
        <f t="shared" ref="J37:J50" si="28">IF(AA37=0,"",AA37)</f>
        <v>204</v>
      </c>
      <c r="K37" s="352">
        <f>IF(AB37="","",AB37)</f>
        <v>1</v>
      </c>
      <c r="L37" s="14">
        <f t="shared" ref="L37:L50" si="29">IF(AC37=0,"",AC37)</f>
        <v>224</v>
      </c>
      <c r="M37" s="352">
        <f>IF(AD37="","",AD37)</f>
        <v>1</v>
      </c>
      <c r="N37" s="14">
        <f t="shared" ref="N37:N50" si="30">IF(AE37=0,"",AE37)</f>
        <v>934</v>
      </c>
      <c r="O37" s="352">
        <f>IF(AF37="","",AF37)</f>
        <v>3</v>
      </c>
      <c r="R37" s="355" t="s">
        <v>0</v>
      </c>
      <c r="S37" s="68" t="str">
        <f>IF(T37=0,"",VLOOKUP(T37,Starter!$A$1:$D$196,2,FALSE))</f>
        <v>Voss, Horst</v>
      </c>
      <c r="T37" s="175">
        <v>7282</v>
      </c>
      <c r="U37" s="183">
        <v>173</v>
      </c>
      <c r="V37" s="95">
        <f>IF(SUM(U37:U39)+U55=0,0,IF(ABS(SUM(U37:U39))=U55,0.5,IF(ABS(SUM(U37:U39))&gt;U55,1,0)))</f>
        <v>0</v>
      </c>
      <c r="W37" s="183">
        <v>160</v>
      </c>
      <c r="X37" s="95">
        <f>IF(SUM(W37:W39)+W55=0,0,IF(ABS(SUM(W37:W39))=W55,0.5,IF(ABS(SUM(W37:W39))&gt;W55,1,0)))</f>
        <v>0</v>
      </c>
      <c r="Y37" s="183">
        <v>173</v>
      </c>
      <c r="Z37" s="95">
        <f>IF(SUM(Y37:Y39)+Y55=0,0,IF(ABS(SUM(Y37:Y39))=Y55,0.5,IF(ABS(SUM(Y37:Y39))&gt;Y55,1,0)))</f>
        <v>1</v>
      </c>
      <c r="AA37" s="189">
        <v>204</v>
      </c>
      <c r="AB37" s="95">
        <f>IF(SUM(AA37:AA39)+AA55=0,0,IF(ABS(SUM(AA37:AA39))=AA55,0.5,IF(ABS(SUM(AA37:AA39))&gt;AA55,1,0)))</f>
        <v>1</v>
      </c>
      <c r="AC37" s="183">
        <v>224</v>
      </c>
      <c r="AD37" s="95">
        <f>IF(SUM(AC37:AC39)+AC55=0,0,IF(ABS(SUM(AC37:AC39))=AC55,0.5,IF(ABS(SUM(AC37:AC39))&gt;AC55,1,0)))</f>
        <v>1</v>
      </c>
      <c r="AE37" s="195">
        <f t="shared" ref="AE37:AE48" si="31">ABS(SUM(U37:U37))+ABS(SUM(W37:W37))+ABS(SUM(Y37:Y37))+ABS(SUM(AA37:AA37))+ABS(SUM(AC37:AC37))</f>
        <v>934</v>
      </c>
      <c r="AF37" s="180">
        <f>SUM(V37+X37+Z37+AB37+AD37)</f>
        <v>3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212"/>
      <c r="BB37" s="213"/>
      <c r="BC37" s="214"/>
      <c r="BD37" s="217">
        <f t="shared" ref="BD37:BD48" si="32">T37</f>
        <v>7282</v>
      </c>
      <c r="BE37" s="213">
        <f t="shared" ref="BE37:BE48" si="33">AE37</f>
        <v>934</v>
      </c>
      <c r="BF37" s="215">
        <f t="shared" ref="BF37:BF48" si="34">COUNT(BH37:BL37)</f>
        <v>5</v>
      </c>
      <c r="BG37" s="215">
        <f t="shared" ref="BG37:BG48" si="35">COUNTIF(BH37:BL37,"&gt;0")</f>
        <v>5</v>
      </c>
      <c r="BH37" s="215">
        <f t="shared" ref="BH37:BH48" si="36">IF(U37=0,"",U37)</f>
        <v>173</v>
      </c>
      <c r="BI37" s="215">
        <f t="shared" ref="BI37:BI48" si="37">IF(W37=0,"",W37)</f>
        <v>160</v>
      </c>
      <c r="BJ37" s="215">
        <f t="shared" ref="BJ37:BJ48" si="38">IF(Y37=0,"",Y37)</f>
        <v>173</v>
      </c>
      <c r="BK37" s="215">
        <f t="shared" ref="BK37:BK48" si="39">IF(AA37=0,"",AA37)</f>
        <v>204</v>
      </c>
      <c r="BL37" s="215">
        <f t="shared" ref="BL37:BL48" si="40">IF(AC37=0,"",AC37)</f>
        <v>224</v>
      </c>
      <c r="BM37" s="216"/>
      <c r="BN37" s="214"/>
      <c r="BO37" s="215">
        <f t="shared" ref="BO37:BO48" si="41">MAX(BH37:BL37)</f>
        <v>224</v>
      </c>
      <c r="BP37" s="215">
        <f t="shared" ref="BP37:BP48" si="42">IF(BO37&lt;MAX(BO:BO),0,BO37+ROW()/1000000000)</f>
        <v>0</v>
      </c>
      <c r="BQ37" s="215" t="str">
        <f>+S33</f>
        <v>Herzogenaurach 1</v>
      </c>
      <c r="BR37" s="214">
        <f t="shared" ref="BR37:BR48" si="43">RANK(BP37,BP:BP)</f>
        <v>2</v>
      </c>
      <c r="BS37" s="215">
        <f t="shared" ref="BS37:BS48" si="44">SUMIF(BH37:BL37,"&gt;0")</f>
        <v>934</v>
      </c>
      <c r="BT37" s="215">
        <f>IF(COUNTIF(BH37:BL37,"&gt;0")&lt;Spielorte!$A$23,0,BE37/Spielorte!$A$23)</f>
        <v>186.8</v>
      </c>
      <c r="BU37" s="215">
        <f t="shared" ref="BU37:BU48" si="45">IF(BT37&lt;MAX(BT:BT),0,BT37+ROW()/1000000000)</f>
        <v>0</v>
      </c>
      <c r="BV37" s="214">
        <f t="shared" ref="BV37:BV48" si="46">IF(BU37=0,0,RANK(BU37,BU:BU))</f>
        <v>0</v>
      </c>
    </row>
    <row r="38" spans="1:74" ht="17.100000000000001" customHeight="1" x14ac:dyDescent="0.2">
      <c r="A38" s="374"/>
      <c r="B38" s="19" t="str">
        <f t="shared" ref="B38:B45" si="47">IF(S38=0,"",S38)</f>
        <v/>
      </c>
      <c r="C38" s="20" t="str">
        <f t="shared" ref="C38:C50" si="48">IF(T38=0,"",T38)</f>
        <v/>
      </c>
      <c r="D38" s="15" t="str">
        <f t="shared" ref="D38:D50" si="49">IF(U38=0,"",U38)</f>
        <v/>
      </c>
      <c r="E38" s="353"/>
      <c r="F38" s="15" t="str">
        <f t="shared" si="26"/>
        <v/>
      </c>
      <c r="G38" s="353"/>
      <c r="H38" s="15" t="str">
        <f t="shared" si="27"/>
        <v/>
      </c>
      <c r="I38" s="353"/>
      <c r="J38" s="15" t="str">
        <f t="shared" si="28"/>
        <v/>
      </c>
      <c r="K38" s="353"/>
      <c r="L38" s="15" t="str">
        <f t="shared" si="29"/>
        <v/>
      </c>
      <c r="M38" s="353"/>
      <c r="N38" s="15" t="str">
        <f t="shared" si="30"/>
        <v/>
      </c>
      <c r="O38" s="353"/>
      <c r="R38" s="356"/>
      <c r="S38" s="68" t="str">
        <f>IF(T38=0,"",VLOOKUP(T38,Starter!$A$1:$D$196,2,FALSE))</f>
        <v/>
      </c>
      <c r="T38" s="176"/>
      <c r="U38" s="184"/>
      <c r="V38" s="96"/>
      <c r="W38" s="184"/>
      <c r="X38" s="96"/>
      <c r="Y38" s="184"/>
      <c r="Z38" s="96"/>
      <c r="AA38" s="184"/>
      <c r="AB38" s="96"/>
      <c r="AC38" s="184"/>
      <c r="AD38" s="96"/>
      <c r="AE38" s="196">
        <f t="shared" si="31"/>
        <v>0</v>
      </c>
      <c r="AF38" s="181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212"/>
      <c r="BB38" s="213"/>
      <c r="BC38" s="214"/>
      <c r="BD38" s="217">
        <f t="shared" si="32"/>
        <v>0</v>
      </c>
      <c r="BE38" s="213">
        <f t="shared" si="33"/>
        <v>0</v>
      </c>
      <c r="BF38" s="215">
        <f t="shared" si="34"/>
        <v>0</v>
      </c>
      <c r="BG38" s="215">
        <f t="shared" si="35"/>
        <v>0</v>
      </c>
      <c r="BH38" s="215" t="str">
        <f t="shared" si="36"/>
        <v/>
      </c>
      <c r="BI38" s="215" t="str">
        <f t="shared" si="37"/>
        <v/>
      </c>
      <c r="BJ38" s="215" t="str">
        <f t="shared" si="38"/>
        <v/>
      </c>
      <c r="BK38" s="215" t="str">
        <f t="shared" si="39"/>
        <v/>
      </c>
      <c r="BL38" s="215" t="str">
        <f t="shared" si="40"/>
        <v/>
      </c>
      <c r="BM38" s="216"/>
      <c r="BN38" s="214"/>
      <c r="BO38" s="215">
        <f t="shared" si="41"/>
        <v>0</v>
      </c>
      <c r="BP38" s="215">
        <f t="shared" si="42"/>
        <v>0</v>
      </c>
      <c r="BQ38" s="215" t="str">
        <f t="shared" ref="BQ38:BQ48" si="50">+BQ37</f>
        <v>Herzogenaurach 1</v>
      </c>
      <c r="BR38" s="214">
        <f t="shared" si="43"/>
        <v>2</v>
      </c>
      <c r="BS38" s="215">
        <f t="shared" si="44"/>
        <v>0</v>
      </c>
      <c r="BT38" s="215">
        <f>IF(COUNTIF(BH38:BL38,"&gt;0")&lt;Spielorte!$A$23,0,BE38/Spielorte!$A$23)</f>
        <v>0</v>
      </c>
      <c r="BU38" s="215">
        <f t="shared" si="45"/>
        <v>0</v>
      </c>
      <c r="BV38" s="214">
        <f t="shared" si="46"/>
        <v>0</v>
      </c>
    </row>
    <row r="39" spans="1:74" ht="17.100000000000001" customHeight="1" thickBot="1" x14ac:dyDescent="0.25">
      <c r="A39" s="375"/>
      <c r="B39" s="21" t="str">
        <f t="shared" si="47"/>
        <v/>
      </c>
      <c r="C39" s="22" t="str">
        <f t="shared" si="48"/>
        <v/>
      </c>
      <c r="D39" s="9" t="str">
        <f t="shared" si="49"/>
        <v/>
      </c>
      <c r="E39" s="354"/>
      <c r="F39" s="9" t="str">
        <f t="shared" si="26"/>
        <v/>
      </c>
      <c r="G39" s="354"/>
      <c r="H39" s="9" t="str">
        <f t="shared" si="27"/>
        <v/>
      </c>
      <c r="I39" s="354"/>
      <c r="J39" s="9" t="str">
        <f t="shared" si="28"/>
        <v/>
      </c>
      <c r="K39" s="354"/>
      <c r="L39" s="9" t="str">
        <f t="shared" si="29"/>
        <v/>
      </c>
      <c r="M39" s="354"/>
      <c r="N39" s="9" t="str">
        <f t="shared" si="30"/>
        <v/>
      </c>
      <c r="O39" s="354"/>
      <c r="R39" s="357"/>
      <c r="S39" s="69" t="str">
        <f>IF(T39=0,"",VLOOKUP(T39,Starter!$A$1:$D$196,2,FALSE))</f>
        <v/>
      </c>
      <c r="T39" s="177"/>
      <c r="U39" s="185"/>
      <c r="V39" s="96"/>
      <c r="W39" s="185"/>
      <c r="X39" s="96"/>
      <c r="Y39" s="185"/>
      <c r="Z39" s="96"/>
      <c r="AA39" s="185"/>
      <c r="AB39" s="96"/>
      <c r="AC39" s="185"/>
      <c r="AD39" s="96"/>
      <c r="AE39" s="197">
        <f t="shared" si="31"/>
        <v>0</v>
      </c>
      <c r="AF39" s="182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212"/>
      <c r="BB39" s="213"/>
      <c r="BC39" s="214"/>
      <c r="BD39" s="217">
        <f t="shared" si="32"/>
        <v>0</v>
      </c>
      <c r="BE39" s="213">
        <f t="shared" si="33"/>
        <v>0</v>
      </c>
      <c r="BF39" s="215">
        <f t="shared" si="34"/>
        <v>0</v>
      </c>
      <c r="BG39" s="215">
        <f t="shared" si="35"/>
        <v>0</v>
      </c>
      <c r="BH39" s="215" t="str">
        <f t="shared" si="36"/>
        <v/>
      </c>
      <c r="BI39" s="215" t="str">
        <f t="shared" si="37"/>
        <v/>
      </c>
      <c r="BJ39" s="215" t="str">
        <f t="shared" si="38"/>
        <v/>
      </c>
      <c r="BK39" s="215" t="str">
        <f t="shared" si="39"/>
        <v/>
      </c>
      <c r="BL39" s="215" t="str">
        <f t="shared" si="40"/>
        <v/>
      </c>
      <c r="BM39" s="216"/>
      <c r="BN39" s="214"/>
      <c r="BO39" s="215">
        <f t="shared" si="41"/>
        <v>0</v>
      </c>
      <c r="BP39" s="215">
        <f t="shared" si="42"/>
        <v>0</v>
      </c>
      <c r="BQ39" s="215" t="str">
        <f t="shared" si="50"/>
        <v>Herzogenaurach 1</v>
      </c>
      <c r="BR39" s="214">
        <f t="shared" si="43"/>
        <v>2</v>
      </c>
      <c r="BS39" s="215">
        <f t="shared" si="44"/>
        <v>0</v>
      </c>
      <c r="BT39" s="215">
        <f>IF(COUNTIF(BH39:BL39,"&gt;0")&lt;Spielorte!$A$23,0,BE39/Spielorte!$A$23)</f>
        <v>0</v>
      </c>
      <c r="BU39" s="215">
        <f t="shared" si="45"/>
        <v>0</v>
      </c>
      <c r="BV39" s="214">
        <f t="shared" si="46"/>
        <v>0</v>
      </c>
    </row>
    <row r="40" spans="1:74" ht="17.100000000000001" customHeight="1" x14ac:dyDescent="0.2">
      <c r="A40" s="373" t="s">
        <v>2</v>
      </c>
      <c r="B40" s="17" t="str">
        <f t="shared" si="47"/>
        <v>Arnold, Nadine</v>
      </c>
      <c r="C40" s="18">
        <f t="shared" si="48"/>
        <v>25378</v>
      </c>
      <c r="D40" s="14">
        <f t="shared" si="49"/>
        <v>178</v>
      </c>
      <c r="E40" s="352">
        <f>IF(V40="","",V40)</f>
        <v>1</v>
      </c>
      <c r="F40" s="14">
        <f t="shared" si="26"/>
        <v>170</v>
      </c>
      <c r="G40" s="352">
        <f>IF(X40="","",X40)</f>
        <v>1</v>
      </c>
      <c r="H40" s="14">
        <f t="shared" si="27"/>
        <v>143</v>
      </c>
      <c r="I40" s="352">
        <f>IF(Z40="","",Z40)</f>
        <v>0</v>
      </c>
      <c r="J40" s="14" t="str">
        <f t="shared" si="28"/>
        <v/>
      </c>
      <c r="K40" s="352">
        <f>IF(AB40="","",AB40)</f>
        <v>0</v>
      </c>
      <c r="L40" s="14" t="str">
        <f t="shared" si="29"/>
        <v/>
      </c>
      <c r="M40" s="352">
        <f>IF(AD40="","",AD40)</f>
        <v>1</v>
      </c>
      <c r="N40" s="14">
        <f t="shared" si="30"/>
        <v>491</v>
      </c>
      <c r="O40" s="352">
        <f>IF(AF40="","",AF40)</f>
        <v>3</v>
      </c>
      <c r="R40" s="355" t="s">
        <v>2</v>
      </c>
      <c r="S40" s="68" t="str">
        <f>IF(T40=0,"",VLOOKUP(T40,Starter!$A$1:$D$196,2,FALSE))</f>
        <v>Arnold, Nadine</v>
      </c>
      <c r="T40" s="178">
        <v>25378</v>
      </c>
      <c r="U40" s="186">
        <v>178</v>
      </c>
      <c r="V40" s="95">
        <f>IF(SUM(U40:U42)+U56=0,0,IF(ABS(SUM(U40:U42))=U56,0.5,IF(ABS(SUM(U40:U42))&gt;U56,1,0)))</f>
        <v>1</v>
      </c>
      <c r="W40" s="186">
        <v>170</v>
      </c>
      <c r="X40" s="95">
        <f>IF(SUM(W40:W42)+W56=0,0,IF(ABS(SUM(W40:W42))=W56,0.5,IF(ABS(SUM(W40:W42))&gt;W56,1,0)))</f>
        <v>1</v>
      </c>
      <c r="Y40" s="186">
        <v>143</v>
      </c>
      <c r="Z40" s="95">
        <f>IF(SUM(Y40:Y42)+Y56=0,0,IF(ABS(SUM(Y40:Y42))=Y56,0.5,IF(ABS(SUM(Y40:Y42))&gt;Y56,1,0)))</f>
        <v>0</v>
      </c>
      <c r="AA40" s="186"/>
      <c r="AB40" s="95">
        <f>IF(SUM(AA40:AA42)+AA56=0,0,IF(ABS(SUM(AA40:AA42))=AA56,0.5,IF(ABS(SUM(AA40:AA42))&gt;AA56,1,0)))</f>
        <v>0</v>
      </c>
      <c r="AC40" s="186"/>
      <c r="AD40" s="95">
        <f>IF(SUM(AC40:AC42)+AC56=0,0,IF(ABS(SUM(AC40:AC42))=AC56,0.5,IF(ABS(SUM(AC40:AC42))&gt;AC56,1,0)))</f>
        <v>1</v>
      </c>
      <c r="AE40" s="195">
        <f t="shared" si="31"/>
        <v>491</v>
      </c>
      <c r="AF40" s="180">
        <f>SUM(V40+X40+Z40+AB40+AD40)</f>
        <v>3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212"/>
      <c r="BB40" s="213"/>
      <c r="BC40" s="214"/>
      <c r="BD40" s="217">
        <f t="shared" si="32"/>
        <v>25378</v>
      </c>
      <c r="BE40" s="213">
        <f t="shared" si="33"/>
        <v>491</v>
      </c>
      <c r="BF40" s="215">
        <f t="shared" si="34"/>
        <v>3</v>
      </c>
      <c r="BG40" s="215">
        <f t="shared" si="35"/>
        <v>3</v>
      </c>
      <c r="BH40" s="215">
        <f t="shared" si="36"/>
        <v>178</v>
      </c>
      <c r="BI40" s="215">
        <f t="shared" si="37"/>
        <v>170</v>
      </c>
      <c r="BJ40" s="215">
        <f t="shared" si="38"/>
        <v>143</v>
      </c>
      <c r="BK40" s="215" t="str">
        <f t="shared" si="39"/>
        <v/>
      </c>
      <c r="BL40" s="215" t="str">
        <f t="shared" si="40"/>
        <v/>
      </c>
      <c r="BM40" s="216"/>
      <c r="BN40" s="214"/>
      <c r="BO40" s="215">
        <f t="shared" si="41"/>
        <v>178</v>
      </c>
      <c r="BP40" s="215">
        <f t="shared" si="42"/>
        <v>0</v>
      </c>
      <c r="BQ40" s="215" t="str">
        <f t="shared" si="50"/>
        <v>Herzogenaurach 1</v>
      </c>
      <c r="BR40" s="214">
        <f t="shared" si="43"/>
        <v>2</v>
      </c>
      <c r="BS40" s="215">
        <f t="shared" si="44"/>
        <v>491</v>
      </c>
      <c r="BT40" s="215">
        <f>IF(COUNTIF(BH40:BL40,"&gt;0")&lt;Spielorte!$A$23,0,BE40/Spielorte!$A$23)</f>
        <v>0</v>
      </c>
      <c r="BU40" s="215">
        <f t="shared" si="45"/>
        <v>0</v>
      </c>
      <c r="BV40" s="214">
        <f t="shared" si="46"/>
        <v>0</v>
      </c>
    </row>
    <row r="41" spans="1:74" ht="17.100000000000001" customHeight="1" x14ac:dyDescent="0.2">
      <c r="A41" s="374"/>
      <c r="B41" s="19" t="str">
        <f t="shared" si="47"/>
        <v>Pichl, Jürgen</v>
      </c>
      <c r="C41" s="20">
        <f t="shared" si="48"/>
        <v>7283</v>
      </c>
      <c r="D41" s="15" t="str">
        <f t="shared" si="49"/>
        <v/>
      </c>
      <c r="E41" s="353"/>
      <c r="F41" s="15" t="str">
        <f t="shared" si="26"/>
        <v/>
      </c>
      <c r="G41" s="353"/>
      <c r="H41" s="15" t="str">
        <f t="shared" si="27"/>
        <v/>
      </c>
      <c r="I41" s="353"/>
      <c r="J41" s="15">
        <f t="shared" si="28"/>
        <v>149</v>
      </c>
      <c r="K41" s="353"/>
      <c r="L41" s="15">
        <f t="shared" si="29"/>
        <v>183</v>
      </c>
      <c r="M41" s="353"/>
      <c r="N41" s="15">
        <f t="shared" si="30"/>
        <v>332</v>
      </c>
      <c r="O41" s="353"/>
      <c r="R41" s="356"/>
      <c r="S41" s="68" t="str">
        <f>IF(T41=0,"",VLOOKUP(T41,Starter!$A$1:$D$196,2,FALSE))</f>
        <v>Pichl, Jürgen</v>
      </c>
      <c r="T41" s="176">
        <v>7283</v>
      </c>
      <c r="U41" s="184"/>
      <c r="V41" s="96"/>
      <c r="W41" s="184"/>
      <c r="X41" s="96"/>
      <c r="Y41" s="184"/>
      <c r="Z41" s="96"/>
      <c r="AA41" s="184">
        <v>149</v>
      </c>
      <c r="AB41" s="96"/>
      <c r="AC41" s="184">
        <v>183</v>
      </c>
      <c r="AD41" s="96"/>
      <c r="AE41" s="196">
        <f t="shared" si="31"/>
        <v>332</v>
      </c>
      <c r="AF41" s="181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212"/>
      <c r="BB41" s="213"/>
      <c r="BC41" s="214"/>
      <c r="BD41" s="217">
        <f t="shared" si="32"/>
        <v>7283</v>
      </c>
      <c r="BE41" s="213">
        <f t="shared" si="33"/>
        <v>332</v>
      </c>
      <c r="BF41" s="215">
        <f t="shared" si="34"/>
        <v>2</v>
      </c>
      <c r="BG41" s="215">
        <f t="shared" si="35"/>
        <v>2</v>
      </c>
      <c r="BH41" s="215" t="str">
        <f t="shared" si="36"/>
        <v/>
      </c>
      <c r="BI41" s="215" t="str">
        <f t="shared" si="37"/>
        <v/>
      </c>
      <c r="BJ41" s="215" t="str">
        <f t="shared" si="38"/>
        <v/>
      </c>
      <c r="BK41" s="215">
        <f t="shared" si="39"/>
        <v>149</v>
      </c>
      <c r="BL41" s="215">
        <f t="shared" si="40"/>
        <v>183</v>
      </c>
      <c r="BM41" s="216"/>
      <c r="BN41" s="214"/>
      <c r="BO41" s="215">
        <f t="shared" si="41"/>
        <v>183</v>
      </c>
      <c r="BP41" s="215">
        <f t="shared" si="42"/>
        <v>0</v>
      </c>
      <c r="BQ41" s="215" t="str">
        <f t="shared" si="50"/>
        <v>Herzogenaurach 1</v>
      </c>
      <c r="BR41" s="214">
        <f t="shared" si="43"/>
        <v>2</v>
      </c>
      <c r="BS41" s="215">
        <f t="shared" si="44"/>
        <v>332</v>
      </c>
      <c r="BT41" s="215">
        <f>IF(COUNTIF(BH41:BL41,"&gt;0")&lt;Spielorte!$A$23,0,BE41/Spielorte!$A$23)</f>
        <v>0</v>
      </c>
      <c r="BU41" s="215">
        <f t="shared" si="45"/>
        <v>0</v>
      </c>
      <c r="BV41" s="214">
        <f t="shared" si="46"/>
        <v>0</v>
      </c>
    </row>
    <row r="42" spans="1:74" ht="17.100000000000001" customHeight="1" thickBot="1" x14ac:dyDescent="0.25">
      <c r="A42" s="375"/>
      <c r="B42" s="21" t="str">
        <f t="shared" si="47"/>
        <v/>
      </c>
      <c r="C42" s="22" t="str">
        <f t="shared" si="48"/>
        <v/>
      </c>
      <c r="D42" s="9" t="str">
        <f t="shared" si="49"/>
        <v/>
      </c>
      <c r="E42" s="354"/>
      <c r="F42" s="9" t="str">
        <f t="shared" si="26"/>
        <v/>
      </c>
      <c r="G42" s="354"/>
      <c r="H42" s="9" t="str">
        <f t="shared" si="27"/>
        <v/>
      </c>
      <c r="I42" s="354"/>
      <c r="J42" s="9" t="str">
        <f t="shared" si="28"/>
        <v/>
      </c>
      <c r="K42" s="354"/>
      <c r="L42" s="9" t="str">
        <f t="shared" si="29"/>
        <v/>
      </c>
      <c r="M42" s="354"/>
      <c r="N42" s="9" t="str">
        <f t="shared" si="30"/>
        <v/>
      </c>
      <c r="O42" s="354"/>
      <c r="R42" s="357"/>
      <c r="S42" s="70" t="str">
        <f>IF(T42=0,"",VLOOKUP(T42,Starter!$A$1:$D$196,2,FALSE))</f>
        <v/>
      </c>
      <c r="T42" s="179"/>
      <c r="U42" s="187"/>
      <c r="V42" s="97"/>
      <c r="W42" s="187"/>
      <c r="X42" s="97"/>
      <c r="Y42" s="187"/>
      <c r="Z42" s="97"/>
      <c r="AA42" s="187"/>
      <c r="AB42" s="97"/>
      <c r="AC42" s="187"/>
      <c r="AD42" s="97"/>
      <c r="AE42" s="197">
        <f t="shared" si="31"/>
        <v>0</v>
      </c>
      <c r="AF42" s="182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212"/>
      <c r="BB42" s="213"/>
      <c r="BC42" s="214"/>
      <c r="BD42" s="217">
        <f t="shared" si="32"/>
        <v>0</v>
      </c>
      <c r="BE42" s="213">
        <f t="shared" si="33"/>
        <v>0</v>
      </c>
      <c r="BF42" s="215">
        <f t="shared" si="34"/>
        <v>0</v>
      </c>
      <c r="BG42" s="215">
        <f t="shared" si="35"/>
        <v>0</v>
      </c>
      <c r="BH42" s="215" t="str">
        <f t="shared" si="36"/>
        <v/>
      </c>
      <c r="BI42" s="215" t="str">
        <f t="shared" si="37"/>
        <v/>
      </c>
      <c r="BJ42" s="215" t="str">
        <f t="shared" si="38"/>
        <v/>
      </c>
      <c r="BK42" s="215" t="str">
        <f t="shared" si="39"/>
        <v/>
      </c>
      <c r="BL42" s="215" t="str">
        <f t="shared" si="40"/>
        <v/>
      </c>
      <c r="BM42" s="216"/>
      <c r="BN42" s="214"/>
      <c r="BO42" s="215">
        <f t="shared" si="41"/>
        <v>0</v>
      </c>
      <c r="BP42" s="215">
        <f t="shared" si="42"/>
        <v>0</v>
      </c>
      <c r="BQ42" s="215" t="str">
        <f t="shared" si="50"/>
        <v>Herzogenaurach 1</v>
      </c>
      <c r="BR42" s="214">
        <f t="shared" si="43"/>
        <v>2</v>
      </c>
      <c r="BS42" s="215">
        <f t="shared" si="44"/>
        <v>0</v>
      </c>
      <c r="BT42" s="215">
        <f>IF(COUNTIF(BH42:BL42,"&gt;0")&lt;Spielorte!$A$23,0,BE42/Spielorte!$A$23)</f>
        <v>0</v>
      </c>
      <c r="BU42" s="215">
        <f t="shared" si="45"/>
        <v>0</v>
      </c>
      <c r="BV42" s="214">
        <f t="shared" si="46"/>
        <v>0</v>
      </c>
    </row>
    <row r="43" spans="1:74" ht="17.100000000000001" customHeight="1" x14ac:dyDescent="0.2">
      <c r="A43" s="373" t="s">
        <v>3</v>
      </c>
      <c r="B43" s="17" t="str">
        <f t="shared" si="47"/>
        <v>Meier, Peter</v>
      </c>
      <c r="C43" s="18">
        <f t="shared" si="48"/>
        <v>7286</v>
      </c>
      <c r="D43" s="14">
        <f t="shared" si="49"/>
        <v>160</v>
      </c>
      <c r="E43" s="352">
        <f>IF(V43="","",V43)</f>
        <v>0</v>
      </c>
      <c r="F43" s="14">
        <f t="shared" si="26"/>
        <v>150</v>
      </c>
      <c r="G43" s="352">
        <f>IF(X43="","",X43)</f>
        <v>0</v>
      </c>
      <c r="H43" s="14">
        <f t="shared" si="27"/>
        <v>214</v>
      </c>
      <c r="I43" s="352">
        <f>IF(Z43="","",Z43)</f>
        <v>1</v>
      </c>
      <c r="J43" s="14">
        <f t="shared" si="28"/>
        <v>208</v>
      </c>
      <c r="K43" s="352">
        <f>IF(AB43="","",AB43)</f>
        <v>0</v>
      </c>
      <c r="L43" s="14">
        <f t="shared" si="29"/>
        <v>177</v>
      </c>
      <c r="M43" s="352">
        <f>IF(AD43="","",AD43)</f>
        <v>0</v>
      </c>
      <c r="N43" s="14">
        <f t="shared" si="30"/>
        <v>909</v>
      </c>
      <c r="O43" s="352">
        <f>IF(AF43="","",AF43)</f>
        <v>1</v>
      </c>
      <c r="R43" s="355" t="s">
        <v>3</v>
      </c>
      <c r="S43" s="68" t="str">
        <f>IF(T43=0,"",VLOOKUP(T43,Starter!$A$1:$D$196,2,FALSE))</f>
        <v>Meier, Peter</v>
      </c>
      <c r="T43" s="178">
        <v>7286</v>
      </c>
      <c r="U43" s="186">
        <v>160</v>
      </c>
      <c r="V43" s="95">
        <f>IF(SUM(U43:U45)+U57=0,0,IF(ABS(SUM(U43:U45))=U57,0.5,IF(ABS(SUM(U43:U45))&gt;U57,1,0)))</f>
        <v>0</v>
      </c>
      <c r="W43" s="186">
        <v>150</v>
      </c>
      <c r="X43" s="95">
        <f>IF(SUM(W43:W45)+W57=0,0,IF(ABS(SUM(W43:W45))=W57,0.5,IF(ABS(SUM(W43:W45))&gt;W57,1,0)))</f>
        <v>0</v>
      </c>
      <c r="Y43" s="186">
        <v>214</v>
      </c>
      <c r="Z43" s="95">
        <f>IF(SUM(Y43:Y45)+Y57=0,0,IF(ABS(SUM(Y43:Y45))=Y57,0.5,IF(ABS(SUM(Y43:Y45))&gt;Y57,1,0)))</f>
        <v>1</v>
      </c>
      <c r="AA43" s="186">
        <v>208</v>
      </c>
      <c r="AB43" s="95">
        <f>IF(SUM(AA43:AA45)+AA57=0,0,IF(ABS(SUM(AA43:AA45))=AA57,0.5,IF(ABS(SUM(AA43:AA45))&gt;AA57,1,0)))</f>
        <v>0</v>
      </c>
      <c r="AC43" s="186">
        <v>177</v>
      </c>
      <c r="AD43" s="95">
        <f>IF(SUM(AC43:AC45)+AC57=0,0,IF(ABS(SUM(AC43:AC45))=AC57,0.5,IF(ABS(SUM(AC43:AC45))&gt;AC57,1,0)))</f>
        <v>0</v>
      </c>
      <c r="AE43" s="195">
        <f t="shared" si="31"/>
        <v>909</v>
      </c>
      <c r="AF43" s="180">
        <f>SUM(V43+X43+Z43+AB43+AD43)</f>
        <v>1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212"/>
      <c r="BB43" s="213"/>
      <c r="BC43" s="214"/>
      <c r="BD43" s="217">
        <f t="shared" si="32"/>
        <v>7286</v>
      </c>
      <c r="BE43" s="213">
        <f t="shared" si="33"/>
        <v>909</v>
      </c>
      <c r="BF43" s="215">
        <f t="shared" si="34"/>
        <v>5</v>
      </c>
      <c r="BG43" s="215">
        <f t="shared" si="35"/>
        <v>5</v>
      </c>
      <c r="BH43" s="215">
        <f t="shared" si="36"/>
        <v>160</v>
      </c>
      <c r="BI43" s="215">
        <f t="shared" si="37"/>
        <v>150</v>
      </c>
      <c r="BJ43" s="215">
        <f t="shared" si="38"/>
        <v>214</v>
      </c>
      <c r="BK43" s="215">
        <f t="shared" si="39"/>
        <v>208</v>
      </c>
      <c r="BL43" s="215">
        <f t="shared" si="40"/>
        <v>177</v>
      </c>
      <c r="BM43" s="216"/>
      <c r="BN43" s="214"/>
      <c r="BO43" s="215">
        <f t="shared" si="41"/>
        <v>214</v>
      </c>
      <c r="BP43" s="215">
        <f t="shared" si="42"/>
        <v>0</v>
      </c>
      <c r="BQ43" s="215" t="str">
        <f t="shared" si="50"/>
        <v>Herzogenaurach 1</v>
      </c>
      <c r="BR43" s="214">
        <f t="shared" si="43"/>
        <v>2</v>
      </c>
      <c r="BS43" s="215">
        <f t="shared" si="44"/>
        <v>909</v>
      </c>
      <c r="BT43" s="215">
        <f>IF(COUNTIF(BH43:BL43,"&gt;0")&lt;Spielorte!$A$23,0,BE43/Spielorte!$A$23)</f>
        <v>181.8</v>
      </c>
      <c r="BU43" s="215">
        <f t="shared" si="45"/>
        <v>0</v>
      </c>
      <c r="BV43" s="214">
        <f t="shared" si="46"/>
        <v>0</v>
      </c>
    </row>
    <row r="44" spans="1:74" ht="17.100000000000001" customHeight="1" x14ac:dyDescent="0.2">
      <c r="A44" s="374"/>
      <c r="B44" s="19" t="str">
        <f t="shared" si="47"/>
        <v/>
      </c>
      <c r="C44" s="20" t="str">
        <f t="shared" si="48"/>
        <v/>
      </c>
      <c r="D44" s="15" t="str">
        <f t="shared" si="49"/>
        <v/>
      </c>
      <c r="E44" s="353"/>
      <c r="F44" s="15" t="str">
        <f t="shared" si="26"/>
        <v/>
      </c>
      <c r="G44" s="353"/>
      <c r="H44" s="15" t="str">
        <f t="shared" si="27"/>
        <v/>
      </c>
      <c r="I44" s="353"/>
      <c r="J44" s="15" t="str">
        <f t="shared" si="28"/>
        <v/>
      </c>
      <c r="K44" s="353"/>
      <c r="L44" s="15" t="str">
        <f t="shared" si="29"/>
        <v/>
      </c>
      <c r="M44" s="353"/>
      <c r="N44" s="15" t="str">
        <f t="shared" si="30"/>
        <v/>
      </c>
      <c r="O44" s="353"/>
      <c r="R44" s="356"/>
      <c r="S44" s="68" t="str">
        <f>IF(T44=0,"",VLOOKUP(T44,Starter!$A$1:$D$196,2,FALSE))</f>
        <v/>
      </c>
      <c r="T44" s="176"/>
      <c r="U44" s="184"/>
      <c r="V44" s="96"/>
      <c r="W44" s="184"/>
      <c r="X44" s="96"/>
      <c r="Y44" s="184"/>
      <c r="Z44" s="96"/>
      <c r="AA44" s="184"/>
      <c r="AB44" s="96"/>
      <c r="AC44" s="184"/>
      <c r="AD44" s="96"/>
      <c r="AE44" s="196">
        <f t="shared" si="31"/>
        <v>0</v>
      </c>
      <c r="AF44" s="181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212"/>
      <c r="BB44" s="213"/>
      <c r="BC44" s="214"/>
      <c r="BD44" s="217">
        <f t="shared" si="32"/>
        <v>0</v>
      </c>
      <c r="BE44" s="213">
        <f t="shared" si="33"/>
        <v>0</v>
      </c>
      <c r="BF44" s="215">
        <f t="shared" si="34"/>
        <v>0</v>
      </c>
      <c r="BG44" s="215">
        <f t="shared" si="35"/>
        <v>0</v>
      </c>
      <c r="BH44" s="215" t="str">
        <f t="shared" si="36"/>
        <v/>
      </c>
      <c r="BI44" s="215" t="str">
        <f t="shared" si="37"/>
        <v/>
      </c>
      <c r="BJ44" s="215" t="str">
        <f t="shared" si="38"/>
        <v/>
      </c>
      <c r="BK44" s="215" t="str">
        <f t="shared" si="39"/>
        <v/>
      </c>
      <c r="BL44" s="215" t="str">
        <f t="shared" si="40"/>
        <v/>
      </c>
      <c r="BM44" s="216"/>
      <c r="BN44" s="214"/>
      <c r="BO44" s="215">
        <f t="shared" si="41"/>
        <v>0</v>
      </c>
      <c r="BP44" s="215">
        <f t="shared" si="42"/>
        <v>0</v>
      </c>
      <c r="BQ44" s="215" t="str">
        <f t="shared" si="50"/>
        <v>Herzogenaurach 1</v>
      </c>
      <c r="BR44" s="214">
        <f t="shared" si="43"/>
        <v>2</v>
      </c>
      <c r="BS44" s="215">
        <f t="shared" si="44"/>
        <v>0</v>
      </c>
      <c r="BT44" s="215">
        <f>IF(COUNTIF(BH44:BL44,"&gt;0")&lt;Spielorte!$A$23,0,BE44/Spielorte!$A$23)</f>
        <v>0</v>
      </c>
      <c r="BU44" s="215">
        <f t="shared" si="45"/>
        <v>0</v>
      </c>
      <c r="BV44" s="214">
        <f t="shared" si="46"/>
        <v>0</v>
      </c>
    </row>
    <row r="45" spans="1:74" ht="17.100000000000001" customHeight="1" thickBot="1" x14ac:dyDescent="0.25">
      <c r="A45" s="375"/>
      <c r="B45" s="21" t="str">
        <f t="shared" si="47"/>
        <v/>
      </c>
      <c r="C45" s="22" t="str">
        <f t="shared" si="48"/>
        <v/>
      </c>
      <c r="D45" s="9" t="str">
        <f t="shared" si="49"/>
        <v/>
      </c>
      <c r="E45" s="354"/>
      <c r="F45" s="9" t="str">
        <f t="shared" si="26"/>
        <v/>
      </c>
      <c r="G45" s="354"/>
      <c r="H45" s="9" t="str">
        <f t="shared" si="27"/>
        <v/>
      </c>
      <c r="I45" s="354"/>
      <c r="J45" s="9" t="str">
        <f t="shared" si="28"/>
        <v/>
      </c>
      <c r="K45" s="354"/>
      <c r="L45" s="9" t="str">
        <f t="shared" si="29"/>
        <v/>
      </c>
      <c r="M45" s="354"/>
      <c r="N45" s="9" t="str">
        <f t="shared" si="30"/>
        <v/>
      </c>
      <c r="O45" s="354"/>
      <c r="R45" s="357"/>
      <c r="S45" s="70" t="str">
        <f>IF(T45=0,"",VLOOKUP(T45,Starter!$A$1:$D$196,2,FALSE))</f>
        <v/>
      </c>
      <c r="T45" s="179"/>
      <c r="U45" s="187"/>
      <c r="V45" s="97"/>
      <c r="W45" s="187"/>
      <c r="X45" s="97"/>
      <c r="Y45" s="187"/>
      <c r="Z45" s="97"/>
      <c r="AA45" s="187"/>
      <c r="AB45" s="97"/>
      <c r="AC45" s="187"/>
      <c r="AD45" s="97"/>
      <c r="AE45" s="197">
        <f t="shared" si="31"/>
        <v>0</v>
      </c>
      <c r="AF45" s="182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212"/>
      <c r="BB45" s="213"/>
      <c r="BC45" s="214"/>
      <c r="BD45" s="217">
        <f t="shared" si="32"/>
        <v>0</v>
      </c>
      <c r="BE45" s="213">
        <f t="shared" si="33"/>
        <v>0</v>
      </c>
      <c r="BF45" s="215">
        <f t="shared" si="34"/>
        <v>0</v>
      </c>
      <c r="BG45" s="215">
        <f t="shared" si="35"/>
        <v>0</v>
      </c>
      <c r="BH45" s="215" t="str">
        <f t="shared" si="36"/>
        <v/>
      </c>
      <c r="BI45" s="215" t="str">
        <f t="shared" si="37"/>
        <v/>
      </c>
      <c r="BJ45" s="215" t="str">
        <f t="shared" si="38"/>
        <v/>
      </c>
      <c r="BK45" s="215" t="str">
        <f t="shared" si="39"/>
        <v/>
      </c>
      <c r="BL45" s="215" t="str">
        <f t="shared" si="40"/>
        <v/>
      </c>
      <c r="BM45" s="216"/>
      <c r="BN45" s="214"/>
      <c r="BO45" s="215">
        <f t="shared" si="41"/>
        <v>0</v>
      </c>
      <c r="BP45" s="215">
        <f t="shared" si="42"/>
        <v>0</v>
      </c>
      <c r="BQ45" s="215" t="str">
        <f t="shared" si="50"/>
        <v>Herzogenaurach 1</v>
      </c>
      <c r="BR45" s="214">
        <f t="shared" si="43"/>
        <v>2</v>
      </c>
      <c r="BS45" s="215">
        <f t="shared" si="44"/>
        <v>0</v>
      </c>
      <c r="BT45" s="215">
        <f>IF(COUNTIF(BH45:BL45,"&gt;0")&lt;Spielorte!$A$23,0,BE45/Spielorte!$A$23)</f>
        <v>0</v>
      </c>
      <c r="BU45" s="215">
        <f t="shared" si="45"/>
        <v>0</v>
      </c>
      <c r="BV45" s="214">
        <f t="shared" si="46"/>
        <v>0</v>
      </c>
    </row>
    <row r="46" spans="1:74" ht="17.100000000000001" customHeight="1" x14ac:dyDescent="0.2">
      <c r="A46" s="373" t="s">
        <v>11</v>
      </c>
      <c r="B46" s="17" t="str">
        <f>IF(S46=0,"",S46)</f>
        <v>Inkermann, Matthias</v>
      </c>
      <c r="C46" s="18">
        <f t="shared" si="48"/>
        <v>25760</v>
      </c>
      <c r="D46" s="14">
        <f t="shared" si="49"/>
        <v>148</v>
      </c>
      <c r="E46" s="352">
        <f>IF(V46="","",V46)</f>
        <v>0</v>
      </c>
      <c r="F46" s="14">
        <f t="shared" si="26"/>
        <v>206</v>
      </c>
      <c r="G46" s="352">
        <f>IF(X46="","",X46)</f>
        <v>1</v>
      </c>
      <c r="H46" s="14">
        <f t="shared" si="27"/>
        <v>167</v>
      </c>
      <c r="I46" s="352">
        <f>IF(Z46="","",Z46)</f>
        <v>0</v>
      </c>
      <c r="J46" s="14">
        <f t="shared" si="28"/>
        <v>168</v>
      </c>
      <c r="K46" s="352">
        <f>IF(AB46="","",AB46)</f>
        <v>0</v>
      </c>
      <c r="L46" s="14">
        <f t="shared" si="29"/>
        <v>190</v>
      </c>
      <c r="M46" s="352">
        <f>IF(AD46="","",AD46)</f>
        <v>0</v>
      </c>
      <c r="N46" s="14">
        <f t="shared" si="30"/>
        <v>879</v>
      </c>
      <c r="O46" s="352">
        <f>IF(AF46="","",AF46)</f>
        <v>1</v>
      </c>
      <c r="R46" s="355" t="s">
        <v>11</v>
      </c>
      <c r="S46" s="68" t="str">
        <f>IF(T46=0,"",VLOOKUP(T46,Starter!$A$1:$D$196,2,FALSE))</f>
        <v>Inkermann, Matthias</v>
      </c>
      <c r="T46" s="178">
        <v>25760</v>
      </c>
      <c r="U46" s="186">
        <v>148</v>
      </c>
      <c r="V46" s="95">
        <f>IF(SUM(U46:U48)+U58=0,0,IF(ABS(SUM(U46:U48))=U58,0.5,IF(ABS(SUM(U46:U48))&gt;U58,1,0)))</f>
        <v>0</v>
      </c>
      <c r="W46" s="186">
        <v>206</v>
      </c>
      <c r="X46" s="95">
        <f>IF(SUM(W46:W48)+W58=0,0,IF(ABS(SUM(W46:W48))=W58,0.5,IF(ABS(SUM(W46:W48))&gt;W58,1,0)))</f>
        <v>1</v>
      </c>
      <c r="Y46" s="186">
        <v>167</v>
      </c>
      <c r="Z46" s="95">
        <f>IF(SUM(Y46:Y48)+Y58=0,0,IF(ABS(SUM(Y46:Y48))=Y58,0.5,IF(ABS(SUM(Y46:Y48))&gt;Y58,1,0)))</f>
        <v>0</v>
      </c>
      <c r="AA46" s="186">
        <v>168</v>
      </c>
      <c r="AB46" s="95">
        <f>IF(SUM(AA46:AA48)+AA58=0,0,IF(ABS(SUM(AA46:AA48))=AA58,0.5,IF(ABS(SUM(AA46:AA48))&gt;AA58,1,0)))</f>
        <v>0</v>
      </c>
      <c r="AC46" s="186">
        <v>190</v>
      </c>
      <c r="AD46" s="95">
        <f>IF(SUM(AC46:AC48)+AC58=0,0,IF(ABS(SUM(AC46:AC48))=AC58,0.5,IF(ABS(SUM(AC46:AC48))&gt;AC58,1,0)))</f>
        <v>0</v>
      </c>
      <c r="AE46" s="195">
        <f t="shared" si="31"/>
        <v>879</v>
      </c>
      <c r="AF46" s="180">
        <f>SUM(V46+X46+Z46+AB46+AD46)</f>
        <v>1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212"/>
      <c r="BB46" s="213"/>
      <c r="BC46" s="214"/>
      <c r="BD46" s="217">
        <f t="shared" si="32"/>
        <v>25760</v>
      </c>
      <c r="BE46" s="213">
        <f t="shared" si="33"/>
        <v>879</v>
      </c>
      <c r="BF46" s="215">
        <f t="shared" si="34"/>
        <v>5</v>
      </c>
      <c r="BG46" s="215">
        <f t="shared" si="35"/>
        <v>5</v>
      </c>
      <c r="BH46" s="215">
        <f t="shared" si="36"/>
        <v>148</v>
      </c>
      <c r="BI46" s="215">
        <f t="shared" si="37"/>
        <v>206</v>
      </c>
      <c r="BJ46" s="215">
        <f t="shared" si="38"/>
        <v>167</v>
      </c>
      <c r="BK46" s="215">
        <f t="shared" si="39"/>
        <v>168</v>
      </c>
      <c r="BL46" s="215">
        <f t="shared" si="40"/>
        <v>190</v>
      </c>
      <c r="BM46" s="216"/>
      <c r="BN46" s="214"/>
      <c r="BO46" s="215">
        <f t="shared" si="41"/>
        <v>206</v>
      </c>
      <c r="BP46" s="215">
        <f t="shared" si="42"/>
        <v>0</v>
      </c>
      <c r="BQ46" s="215" t="str">
        <f t="shared" si="50"/>
        <v>Herzogenaurach 1</v>
      </c>
      <c r="BR46" s="214">
        <f t="shared" si="43"/>
        <v>2</v>
      </c>
      <c r="BS46" s="215">
        <f t="shared" si="44"/>
        <v>879</v>
      </c>
      <c r="BT46" s="215">
        <f>IF(COUNTIF(BH46:BL46,"&gt;0")&lt;Spielorte!$A$23,0,BE46/Spielorte!$A$23)</f>
        <v>175.8</v>
      </c>
      <c r="BU46" s="215">
        <f t="shared" si="45"/>
        <v>0</v>
      </c>
      <c r="BV46" s="214">
        <f t="shared" si="46"/>
        <v>0</v>
      </c>
    </row>
    <row r="47" spans="1:74" ht="17.100000000000001" customHeight="1" x14ac:dyDescent="0.2">
      <c r="A47" s="374"/>
      <c r="B47" s="19" t="str">
        <f>IF(S47=0,"",S47)</f>
        <v/>
      </c>
      <c r="C47" s="20" t="str">
        <f t="shared" si="48"/>
        <v/>
      </c>
      <c r="D47" s="15" t="str">
        <f t="shared" si="49"/>
        <v/>
      </c>
      <c r="E47" s="353"/>
      <c r="F47" s="15" t="str">
        <f t="shared" si="26"/>
        <v/>
      </c>
      <c r="G47" s="353"/>
      <c r="H47" s="15" t="str">
        <f t="shared" si="27"/>
        <v/>
      </c>
      <c r="I47" s="353"/>
      <c r="J47" s="15" t="str">
        <f t="shared" si="28"/>
        <v/>
      </c>
      <c r="K47" s="353"/>
      <c r="L47" s="15" t="str">
        <f t="shared" si="29"/>
        <v/>
      </c>
      <c r="M47" s="353"/>
      <c r="N47" s="15" t="str">
        <f t="shared" si="30"/>
        <v/>
      </c>
      <c r="O47" s="353"/>
      <c r="R47" s="356"/>
      <c r="S47" s="68" t="str">
        <f>IF(T47=0,"",VLOOKUP(T47,Starter!$A$1:$D$196,2,FALSE))</f>
        <v/>
      </c>
      <c r="T47" s="176"/>
      <c r="U47" s="184"/>
      <c r="V47" s="96"/>
      <c r="W47" s="184"/>
      <c r="X47" s="96"/>
      <c r="Y47" s="184"/>
      <c r="Z47" s="96"/>
      <c r="AA47" s="184"/>
      <c r="AB47" s="96"/>
      <c r="AC47" s="184"/>
      <c r="AD47" s="96"/>
      <c r="AE47" s="196">
        <f t="shared" si="31"/>
        <v>0</v>
      </c>
      <c r="AF47" s="181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212"/>
      <c r="BB47" s="213"/>
      <c r="BC47" s="214"/>
      <c r="BD47" s="217">
        <f t="shared" si="32"/>
        <v>0</v>
      </c>
      <c r="BE47" s="213">
        <f t="shared" si="33"/>
        <v>0</v>
      </c>
      <c r="BF47" s="215">
        <f t="shared" si="34"/>
        <v>0</v>
      </c>
      <c r="BG47" s="215">
        <f t="shared" si="35"/>
        <v>0</v>
      </c>
      <c r="BH47" s="215" t="str">
        <f t="shared" si="36"/>
        <v/>
      </c>
      <c r="BI47" s="215" t="str">
        <f t="shared" si="37"/>
        <v/>
      </c>
      <c r="BJ47" s="215" t="str">
        <f t="shared" si="38"/>
        <v/>
      </c>
      <c r="BK47" s="215" t="str">
        <f t="shared" si="39"/>
        <v/>
      </c>
      <c r="BL47" s="215" t="str">
        <f t="shared" si="40"/>
        <v/>
      </c>
      <c r="BM47" s="216"/>
      <c r="BN47" s="214"/>
      <c r="BO47" s="215">
        <f t="shared" si="41"/>
        <v>0</v>
      </c>
      <c r="BP47" s="215">
        <f t="shared" si="42"/>
        <v>0</v>
      </c>
      <c r="BQ47" s="215" t="str">
        <f t="shared" si="50"/>
        <v>Herzogenaurach 1</v>
      </c>
      <c r="BR47" s="214">
        <f t="shared" si="43"/>
        <v>2</v>
      </c>
      <c r="BS47" s="215">
        <f t="shared" si="44"/>
        <v>0</v>
      </c>
      <c r="BT47" s="215">
        <f>IF(COUNTIF(BH47:BL47,"&gt;0")&lt;Spielorte!$A$23,0,BE47/Spielorte!$A$23)</f>
        <v>0</v>
      </c>
      <c r="BU47" s="215">
        <f t="shared" si="45"/>
        <v>0</v>
      </c>
      <c r="BV47" s="214">
        <f t="shared" si="46"/>
        <v>0</v>
      </c>
    </row>
    <row r="48" spans="1:74" ht="17.100000000000001" customHeight="1" thickBot="1" x14ac:dyDescent="0.25">
      <c r="A48" s="375"/>
      <c r="B48" s="21" t="str">
        <f>IF(S48=0,"",S48)</f>
        <v/>
      </c>
      <c r="C48" s="22" t="str">
        <f t="shared" si="48"/>
        <v/>
      </c>
      <c r="D48" s="9" t="str">
        <f t="shared" si="49"/>
        <v/>
      </c>
      <c r="E48" s="354"/>
      <c r="F48" s="9" t="str">
        <f t="shared" si="26"/>
        <v/>
      </c>
      <c r="G48" s="354"/>
      <c r="H48" s="9" t="str">
        <f t="shared" si="27"/>
        <v/>
      </c>
      <c r="I48" s="354"/>
      <c r="J48" s="9" t="str">
        <f t="shared" si="28"/>
        <v/>
      </c>
      <c r="K48" s="354"/>
      <c r="L48" s="9" t="str">
        <f t="shared" si="29"/>
        <v/>
      </c>
      <c r="M48" s="354"/>
      <c r="N48" s="9" t="str">
        <f t="shared" si="30"/>
        <v/>
      </c>
      <c r="O48" s="354"/>
      <c r="R48" s="357"/>
      <c r="S48" s="70" t="str">
        <f>IF(T48=0,"",VLOOKUP(T48,Starter!$A$1:$D$196,2,FALSE))</f>
        <v/>
      </c>
      <c r="T48" s="179"/>
      <c r="U48" s="187"/>
      <c r="V48" s="97"/>
      <c r="W48" s="187"/>
      <c r="X48" s="97"/>
      <c r="Y48" s="187"/>
      <c r="Z48" s="97"/>
      <c r="AA48" s="187"/>
      <c r="AB48" s="97"/>
      <c r="AC48" s="187"/>
      <c r="AD48" s="97"/>
      <c r="AE48" s="197">
        <f t="shared" si="31"/>
        <v>0</v>
      </c>
      <c r="AF48" s="182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212"/>
      <c r="BB48" s="213"/>
      <c r="BC48" s="214"/>
      <c r="BD48" s="217">
        <f t="shared" si="32"/>
        <v>0</v>
      </c>
      <c r="BE48" s="213">
        <f t="shared" si="33"/>
        <v>0</v>
      </c>
      <c r="BF48" s="215">
        <f t="shared" si="34"/>
        <v>0</v>
      </c>
      <c r="BG48" s="215">
        <f t="shared" si="35"/>
        <v>0</v>
      </c>
      <c r="BH48" s="215" t="str">
        <f t="shared" si="36"/>
        <v/>
      </c>
      <c r="BI48" s="215" t="str">
        <f t="shared" si="37"/>
        <v/>
      </c>
      <c r="BJ48" s="215" t="str">
        <f t="shared" si="38"/>
        <v/>
      </c>
      <c r="BK48" s="215" t="str">
        <f t="shared" si="39"/>
        <v/>
      </c>
      <c r="BL48" s="215" t="str">
        <f t="shared" si="40"/>
        <v/>
      </c>
      <c r="BM48" s="216"/>
      <c r="BN48" s="214"/>
      <c r="BO48" s="215">
        <f t="shared" si="41"/>
        <v>0</v>
      </c>
      <c r="BP48" s="215">
        <f t="shared" si="42"/>
        <v>0</v>
      </c>
      <c r="BQ48" s="215" t="str">
        <f t="shared" si="50"/>
        <v>Herzogenaurach 1</v>
      </c>
      <c r="BR48" s="214">
        <f t="shared" si="43"/>
        <v>2</v>
      </c>
      <c r="BS48" s="215">
        <f t="shared" si="44"/>
        <v>0</v>
      </c>
      <c r="BT48" s="215">
        <f>IF(COUNTIF(BH48:BL48,"&gt;0")&lt;Spielorte!$A$23,0,BE48/Spielorte!$A$23)</f>
        <v>0</v>
      </c>
      <c r="BU48" s="215">
        <f t="shared" si="45"/>
        <v>0</v>
      </c>
      <c r="BV48" s="214">
        <f t="shared" si="46"/>
        <v>0</v>
      </c>
    </row>
    <row r="49" spans="1:74" ht="27.75" customHeight="1" thickBot="1" x14ac:dyDescent="0.25">
      <c r="B49" s="11" t="str">
        <f>IF(S49=0,"",S49)</f>
        <v>Gesamt</v>
      </c>
      <c r="C49" s="26" t="str">
        <f t="shared" si="48"/>
        <v/>
      </c>
      <c r="D49" s="16">
        <f t="shared" si="49"/>
        <v>659</v>
      </c>
      <c r="E49" s="12">
        <f>IF(V49="","",V49)</f>
        <v>0</v>
      </c>
      <c r="F49" s="16">
        <f t="shared" si="26"/>
        <v>686</v>
      </c>
      <c r="G49" s="12">
        <f>IF(X49="","",X49)</f>
        <v>0</v>
      </c>
      <c r="H49" s="16">
        <f t="shared" si="27"/>
        <v>697</v>
      </c>
      <c r="I49" s="12">
        <f>IF(Z49="","",Z49)</f>
        <v>0</v>
      </c>
      <c r="J49" s="16">
        <f t="shared" si="28"/>
        <v>729</v>
      </c>
      <c r="K49" s="12">
        <f>IF(AB49="","",AB49)</f>
        <v>2</v>
      </c>
      <c r="L49" s="16">
        <f t="shared" si="29"/>
        <v>774</v>
      </c>
      <c r="M49" s="12">
        <f>IF(AD49="","",AD49)</f>
        <v>2</v>
      </c>
      <c r="N49" s="16">
        <f t="shared" si="30"/>
        <v>3545</v>
      </c>
      <c r="O49" s="12">
        <f>IF(AF49="","",AF49)</f>
        <v>4</v>
      </c>
      <c r="S49" s="11" t="s">
        <v>1791</v>
      </c>
      <c r="T49" s="71"/>
      <c r="U49" s="188">
        <f>ABS(SUM(U37:U39))+ABS(SUM(U40:U42))+ABS(SUM(U43:U45))+ABS(SUM(U46:U48))</f>
        <v>659</v>
      </c>
      <c r="V49" s="98">
        <f>IF(U49+U59=0,0,IF(U49=U59,1,IF(U49&gt;U59,2,0)))</f>
        <v>0</v>
      </c>
      <c r="W49" s="188">
        <f>ABS(SUM(W37:W39))+ABS(SUM(W40:W42))+ABS(SUM(W43:W45))+ABS(SUM(W46:W48))</f>
        <v>686</v>
      </c>
      <c r="X49" s="98">
        <f>IF(W49+W59=0,0,IF(W49=W59,1,IF(W49&gt;W59,2,0)))</f>
        <v>0</v>
      </c>
      <c r="Y49" s="188">
        <f>ABS(SUM(Y37:Y39))+ABS(SUM(Y40:Y42))+ABS(SUM(Y43:Y45))+ABS(SUM(Y46:Y48))</f>
        <v>697</v>
      </c>
      <c r="Z49" s="98">
        <f>IF(Y49+Y59=0,0,IF(Y49=Y59,1,IF(Y49&gt;Y59,2,0)))</f>
        <v>0</v>
      </c>
      <c r="AA49" s="188">
        <f>ABS(SUM(AA37:AA39))+ABS(SUM(AA40:AA42))+ABS(SUM(AA43:AA45))+ABS(SUM(AA46:AA48))</f>
        <v>729</v>
      </c>
      <c r="AB49" s="98">
        <f>IF(AA49+AA59=0,0,IF(AA49=AA59,1,IF(AA49&gt;AA59,2,0)))</f>
        <v>2</v>
      </c>
      <c r="AC49" s="188">
        <f>ABS(SUM(AC37:AC39))+ABS(SUM(AC40:AC42))+ABS(SUM(AC43:AC45))+ABS(SUM(AC46:AC48))</f>
        <v>774</v>
      </c>
      <c r="AD49" s="98">
        <f>IF(AC49+AC59=0,0,IF(AC49=AC59,1,IF(AC49&gt;AC59,2,0)))</f>
        <v>2</v>
      </c>
      <c r="AE49" s="198">
        <f>SUM(U49+W49+Y49+AA49+AC49)</f>
        <v>3545</v>
      </c>
      <c r="AF49" s="12">
        <f>SUM(V49+X49+Z49+AB49+AD49)</f>
        <v>4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212"/>
      <c r="BB49" s="213"/>
      <c r="BC49" s="214"/>
      <c r="BM49" s="216"/>
      <c r="BN49" s="214"/>
      <c r="BR49" s="214"/>
      <c r="BV49" s="214"/>
    </row>
    <row r="50" spans="1:74" ht="24" customHeight="1" thickBot="1" x14ac:dyDescent="0.25">
      <c r="B50" s="8" t="str">
        <f>IF(S50=0,"",S50)</f>
        <v>Gesamt - Punkte</v>
      </c>
      <c r="C50" s="1" t="str">
        <f t="shared" si="48"/>
        <v/>
      </c>
      <c r="D50" s="1" t="str">
        <f t="shared" si="49"/>
        <v/>
      </c>
      <c r="E50" s="23">
        <f>IF(V50="","",V50)</f>
        <v>1</v>
      </c>
      <c r="F50" s="1" t="str">
        <f t="shared" si="26"/>
        <v/>
      </c>
      <c r="G50" s="23">
        <f>IF(X50="","",X50)</f>
        <v>2</v>
      </c>
      <c r="H50" s="1" t="str">
        <f t="shared" si="27"/>
        <v/>
      </c>
      <c r="I50" s="23">
        <f>IF(Z50="","",Z50)</f>
        <v>2</v>
      </c>
      <c r="J50" s="1" t="str">
        <f t="shared" si="28"/>
        <v/>
      </c>
      <c r="K50" s="23">
        <f>IF(AB50="","",AB50)</f>
        <v>3</v>
      </c>
      <c r="L50" s="1" t="str">
        <f t="shared" si="29"/>
        <v/>
      </c>
      <c r="M50" s="23">
        <f>IF(AD50="","",AD50)</f>
        <v>4</v>
      </c>
      <c r="N50" s="1" t="str">
        <f t="shared" si="30"/>
        <v/>
      </c>
      <c r="O50" s="23">
        <f>IF(AF50="","",AF50)</f>
        <v>12</v>
      </c>
      <c r="S50" s="8" t="s">
        <v>1802</v>
      </c>
      <c r="T50" s="1"/>
      <c r="U50" s="1"/>
      <c r="V50" s="72">
        <f>SUM(V37:V49)</f>
        <v>1</v>
      </c>
      <c r="W50" s="1"/>
      <c r="X50" s="72">
        <f>SUM(X37:X49)</f>
        <v>2</v>
      </c>
      <c r="Y50" s="1"/>
      <c r="Z50" s="72">
        <f>SUM(Z37:Z49)</f>
        <v>2</v>
      </c>
      <c r="AA50" s="1"/>
      <c r="AB50" s="72">
        <f>SUM(AB37:AB49)</f>
        <v>3</v>
      </c>
      <c r="AC50" s="1"/>
      <c r="AD50" s="72">
        <f>SUM(AD37:AD49)</f>
        <v>4</v>
      </c>
      <c r="AE50" s="1"/>
      <c r="AF50" s="72">
        <f>SUM(AF37:AF49)</f>
        <v>12</v>
      </c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212">
        <f>AF50</f>
        <v>12</v>
      </c>
      <c r="BB50" s="213">
        <f>AE49</f>
        <v>3545</v>
      </c>
      <c r="BC50" s="214">
        <f>+S32</f>
        <v>2</v>
      </c>
      <c r="BF50" s="215">
        <f>SUM(BF31:BF49)</f>
        <v>20</v>
      </c>
      <c r="BM50" s="212">
        <f>+BB50/1000000+BA50</f>
        <v>12.003545000000001</v>
      </c>
      <c r="BN50" s="214">
        <f>RANK(BM50,BM:BM)</f>
        <v>4</v>
      </c>
      <c r="BR50" s="214"/>
      <c r="BV50" s="214"/>
    </row>
    <row r="51" spans="1:74" ht="11.25" customHeight="1" x14ac:dyDescent="0.2">
      <c r="B51" s="1"/>
      <c r="C51" s="1"/>
      <c r="D51" s="1"/>
      <c r="E51" s="2"/>
      <c r="F51" s="1"/>
      <c r="G51" s="2"/>
      <c r="H51" s="1"/>
      <c r="I51" s="2"/>
      <c r="J51" s="1"/>
      <c r="K51" s="2"/>
      <c r="L51" s="1"/>
      <c r="M51" s="2"/>
      <c r="N51" s="1"/>
      <c r="O51" s="2"/>
      <c r="S51" s="1"/>
      <c r="T51" s="1"/>
      <c r="U51" s="1"/>
      <c r="V51" s="2"/>
      <c r="W51" s="1"/>
      <c r="X51" s="2"/>
      <c r="Y51" s="1"/>
      <c r="Z51" s="2"/>
      <c r="AA51" s="1"/>
      <c r="AB51" s="2"/>
      <c r="AC51" s="1"/>
      <c r="AD51" s="2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12"/>
      <c r="BB51" s="213"/>
      <c r="BC51" s="214"/>
      <c r="BM51" s="216"/>
      <c r="BN51" s="214"/>
      <c r="BR51" s="214"/>
      <c r="BV51" s="214"/>
    </row>
    <row r="52" spans="1:74" ht="12.75" customHeight="1" x14ac:dyDescent="0.2">
      <c r="B52" s="13" t="str">
        <f t="shared" ref="B52:B59" si="51">IF(S52=0,"",S52)</f>
        <v>Gegner-Nr.:</v>
      </c>
      <c r="C52" s="5" t="str">
        <f t="shared" ref="C52:C59" si="52">IF(T52=0,"",T52)</f>
        <v>&gt;&gt;&gt;&gt;</v>
      </c>
      <c r="D52" s="350">
        <f t="shared" ref="D52:M54" si="53">IF(U52=0,"",U52)</f>
        <v>1</v>
      </c>
      <c r="E52" s="350" t="str">
        <f t="shared" si="53"/>
        <v/>
      </c>
      <c r="F52" s="350">
        <f t="shared" si="53"/>
        <v>3</v>
      </c>
      <c r="G52" s="350" t="str">
        <f t="shared" si="53"/>
        <v/>
      </c>
      <c r="H52" s="350">
        <f t="shared" si="53"/>
        <v>5</v>
      </c>
      <c r="I52" s="350" t="str">
        <f t="shared" si="53"/>
        <v/>
      </c>
      <c r="J52" s="350">
        <f t="shared" si="53"/>
        <v>6</v>
      </c>
      <c r="K52" s="350" t="str">
        <f t="shared" si="53"/>
        <v/>
      </c>
      <c r="L52" s="350">
        <f t="shared" si="53"/>
        <v>4</v>
      </c>
      <c r="M52" s="350" t="str">
        <f t="shared" si="53"/>
        <v/>
      </c>
      <c r="N52" s="351"/>
      <c r="O52" s="351"/>
      <c r="S52" s="13" t="s">
        <v>1789</v>
      </c>
      <c r="T52" s="5" t="s">
        <v>1790</v>
      </c>
      <c r="U52" s="369">
        <f>VLOOKUP($S32,Schlüssel!$A$5:$K$10,3)</f>
        <v>1</v>
      </c>
      <c r="V52" s="370"/>
      <c r="W52" s="369">
        <f>VLOOKUP($S32,Schlüssel!$A$5:$K$10,4)</f>
        <v>3</v>
      </c>
      <c r="X52" s="370"/>
      <c r="Y52" s="369">
        <f>VLOOKUP($S32,Schlüssel!$A$5:$K$10,5)</f>
        <v>5</v>
      </c>
      <c r="Z52" s="370"/>
      <c r="AA52" s="369">
        <f>VLOOKUP($S32,Schlüssel!$A$5:$K$10,6)</f>
        <v>6</v>
      </c>
      <c r="AB52" s="370"/>
      <c r="AC52" s="369">
        <f>VLOOKUP($S32,Schlüssel!$A$5:$K$10,7)</f>
        <v>4</v>
      </c>
      <c r="AD52" s="370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212"/>
      <c r="BB52" s="213"/>
      <c r="BC52" s="214"/>
      <c r="BM52" s="216"/>
      <c r="BN52" s="214"/>
      <c r="BR52" s="214"/>
      <c r="BV52" s="214"/>
    </row>
    <row r="53" spans="1:74" ht="28.5" customHeight="1" x14ac:dyDescent="0.2">
      <c r="B53" s="4" t="str">
        <f t="shared" si="51"/>
        <v/>
      </c>
      <c r="C53" s="1" t="str">
        <f t="shared" si="52"/>
        <v/>
      </c>
      <c r="D53" s="347" t="str">
        <f t="shared" si="53"/>
        <v>Castra Regina Regensburg 3</v>
      </c>
      <c r="E53" s="348" t="str">
        <f t="shared" si="53"/>
        <v/>
      </c>
      <c r="F53" s="347" t="str">
        <f t="shared" si="53"/>
        <v>Kings Club Bayreuth Land 2</v>
      </c>
      <c r="G53" s="348" t="str">
        <f t="shared" si="53"/>
        <v/>
      </c>
      <c r="H53" s="347" t="str">
        <f t="shared" si="53"/>
        <v>Castra Regina Regensburg 2</v>
      </c>
      <c r="I53" s="348" t="str">
        <f t="shared" si="53"/>
        <v/>
      </c>
      <c r="J53" s="347" t="str">
        <f t="shared" si="53"/>
        <v>Adler Nürnberg 1</v>
      </c>
      <c r="K53" s="348" t="str">
        <f t="shared" si="53"/>
        <v/>
      </c>
      <c r="L53" s="347" t="str">
        <f t="shared" si="53"/>
        <v>Kings Club Bayreuth Land 3</v>
      </c>
      <c r="M53" s="348" t="str">
        <f t="shared" si="53"/>
        <v/>
      </c>
      <c r="N53" s="349"/>
      <c r="O53" s="349"/>
      <c r="S53" s="4"/>
      <c r="T53" s="1"/>
      <c r="U53" s="347" t="str">
        <f>VLOOKUP(U52,Schlüssel!$A$5:$K$10,2)</f>
        <v>Castra Regina Regensburg 3</v>
      </c>
      <c r="V53" s="348"/>
      <c r="W53" s="347" t="str">
        <f>VLOOKUP(W52,Schlüssel!$A$5:$K$10,2)</f>
        <v>Kings Club Bayreuth Land 2</v>
      </c>
      <c r="X53" s="348"/>
      <c r="Y53" s="347" t="str">
        <f>VLOOKUP(Y52,Schlüssel!$A$5:$K$10,2)</f>
        <v>Castra Regina Regensburg 2</v>
      </c>
      <c r="Z53" s="348"/>
      <c r="AA53" s="347" t="str">
        <f>VLOOKUP(AA52,Schlüssel!$A$5:$K$10,2)</f>
        <v>Adler Nürnberg 1</v>
      </c>
      <c r="AB53" s="348"/>
      <c r="AC53" s="347" t="str">
        <f>VLOOKUP(AC52,Schlüssel!$A$5:$K$10,2)</f>
        <v>Kings Club Bayreuth Land 3</v>
      </c>
      <c r="AD53" s="348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212"/>
      <c r="BB53" s="213"/>
      <c r="BC53" s="214"/>
      <c r="BM53" s="216"/>
      <c r="BN53" s="214"/>
      <c r="BR53" s="214"/>
      <c r="BV53" s="214"/>
    </row>
    <row r="54" spans="1:74" ht="12" customHeight="1" x14ac:dyDescent="0.2">
      <c r="B54" s="4" t="str">
        <f t="shared" si="51"/>
        <v/>
      </c>
      <c r="C54" s="1" t="str">
        <f t="shared" si="52"/>
        <v/>
      </c>
      <c r="D54" s="346" t="str">
        <f t="shared" si="53"/>
        <v/>
      </c>
      <c r="E54" s="346" t="str">
        <f t="shared" si="53"/>
        <v/>
      </c>
      <c r="F54" s="346" t="str">
        <f t="shared" si="53"/>
        <v/>
      </c>
      <c r="G54" s="346" t="str">
        <f t="shared" si="53"/>
        <v/>
      </c>
      <c r="H54" s="346" t="str">
        <f t="shared" si="53"/>
        <v/>
      </c>
      <c r="I54" s="346" t="str">
        <f t="shared" si="53"/>
        <v/>
      </c>
      <c r="J54" s="346" t="str">
        <f t="shared" si="53"/>
        <v/>
      </c>
      <c r="K54" s="346" t="str">
        <f t="shared" si="53"/>
        <v/>
      </c>
      <c r="L54" s="346" t="str">
        <f t="shared" si="53"/>
        <v/>
      </c>
      <c r="M54" s="346" t="str">
        <f t="shared" si="53"/>
        <v/>
      </c>
      <c r="N54" s="310"/>
      <c r="O54" s="310"/>
      <c r="S54" s="4"/>
      <c r="T54" s="1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212"/>
      <c r="BB54" s="213"/>
      <c r="BC54" s="214"/>
      <c r="BM54" s="216"/>
      <c r="BN54" s="214"/>
      <c r="BR54" s="214"/>
      <c r="BV54" s="214"/>
    </row>
    <row r="55" spans="1:74" ht="15.95" customHeight="1" x14ac:dyDescent="0.2">
      <c r="B55" s="371" t="str">
        <f t="shared" si="51"/>
        <v>Spieler 1</v>
      </c>
      <c r="C55" s="372" t="str">
        <f t="shared" si="52"/>
        <v/>
      </c>
      <c r="D55" s="344">
        <f>IF(U55=301,"",U55)</f>
        <v>191</v>
      </c>
      <c r="E55" s="344" t="str">
        <f>IF(V55=0,"",V55)</f>
        <v/>
      </c>
      <c r="F55" s="344">
        <f>IF(W55=301,"",W55)</f>
        <v>202</v>
      </c>
      <c r="G55" s="344" t="str">
        <f>IF(X55=0,"",X55)</f>
        <v/>
      </c>
      <c r="H55" s="344">
        <f>IF(Y55=301,"",Y55)</f>
        <v>145</v>
      </c>
      <c r="I55" s="344" t="str">
        <f>IF(Z55=0,"",Z55)</f>
        <v/>
      </c>
      <c r="J55" s="344">
        <f>IF(AA55=301,"",AA55)</f>
        <v>173</v>
      </c>
      <c r="K55" s="344" t="str">
        <f>IF(AB55=0,"",AB55)</f>
        <v/>
      </c>
      <c r="L55" s="344">
        <f>IF(AC55=301,"",AC55)</f>
        <v>169</v>
      </c>
      <c r="M55" s="344" t="str">
        <f>IF(AD55=0,"",AD55)</f>
        <v/>
      </c>
      <c r="N55" s="345"/>
      <c r="O55" s="345"/>
      <c r="S55" s="35" t="s">
        <v>0</v>
      </c>
      <c r="T55" s="36"/>
      <c r="U55" s="367">
        <f>ABS(INDEX(U:U,MATCH(U52,$S:$S,0)+5)+INDEX(U:U,MATCH(U52,$S:$S,0)+6)+INDEX(U:U,MATCH(U52,$S:$S,0)+7))</f>
        <v>191</v>
      </c>
      <c r="V55" s="368"/>
      <c r="W55" s="367">
        <f>ABS(INDEX(W:W,MATCH(W52,$S:$S,0)+5)+INDEX(W:W,MATCH(W52,$S:$S,0)+6)+INDEX(W:W,MATCH(W52,$S:$S,0)+7))</f>
        <v>202</v>
      </c>
      <c r="X55" s="368"/>
      <c r="Y55" s="367">
        <f>ABS(INDEX(Y:Y,MATCH(Y52,$S:$S,0)+5)+INDEX(Y:Y,MATCH(Y52,$S:$S,0)+6)+INDEX(Y:Y,MATCH(Y52,$S:$S,0)+7))</f>
        <v>145</v>
      </c>
      <c r="Z55" s="368"/>
      <c r="AA55" s="367">
        <f>ABS(INDEX(AA:AA,MATCH(AA52,$S:$S,0)+5)+INDEX(AA:AA,MATCH(AA52,$S:$S,0)+6)+INDEX(AA:AA,MATCH(AA52,$S:$S,0)+7))</f>
        <v>173</v>
      </c>
      <c r="AB55" s="368"/>
      <c r="AC55" s="367">
        <f>ABS(INDEX(AC:AC,MATCH(AC52,$S:$S,0)+5)+INDEX(AC:AC,MATCH(AC52,$S:$S,0)+6)+INDEX(AC:AC,MATCH(AC52,$S:$S,0)+7))</f>
        <v>169</v>
      </c>
      <c r="AD55" s="36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12"/>
      <c r="BB55" s="213"/>
      <c r="BC55" s="214"/>
      <c r="BM55" s="216"/>
      <c r="BN55" s="214"/>
      <c r="BR55" s="214"/>
      <c r="BV55" s="214"/>
    </row>
    <row r="56" spans="1:74" ht="15.95" customHeight="1" x14ac:dyDescent="0.2">
      <c r="B56" s="371" t="str">
        <f t="shared" si="51"/>
        <v>Spieler 2</v>
      </c>
      <c r="C56" s="372" t="str">
        <f t="shared" si="52"/>
        <v/>
      </c>
      <c r="D56" s="344">
        <f>IF(U56=301,"",U56)</f>
        <v>128</v>
      </c>
      <c r="E56" s="344" t="str">
        <f>IF(V56=0,"",V56)</f>
        <v/>
      </c>
      <c r="F56" s="344">
        <f>IF(W56=301,"",W56)</f>
        <v>164</v>
      </c>
      <c r="G56" s="344" t="str">
        <f>IF(X56=0,"",X56)</f>
        <v/>
      </c>
      <c r="H56" s="344">
        <f>IF(Y56=301,"",Y56)</f>
        <v>196</v>
      </c>
      <c r="I56" s="344" t="str">
        <f>IF(Z56=0,"",Z56)</f>
        <v/>
      </c>
      <c r="J56" s="344">
        <f>IF(AA56=301,"",AA56)</f>
        <v>156</v>
      </c>
      <c r="K56" s="344" t="str">
        <f>IF(AB56=0,"",AB56)</f>
        <v/>
      </c>
      <c r="L56" s="344">
        <f>IF(AC56=301,"",AC56)</f>
        <v>161</v>
      </c>
      <c r="M56" s="344" t="str">
        <f>IF(AD56=0,"",AD56)</f>
        <v/>
      </c>
      <c r="N56" s="345"/>
      <c r="O56" s="345"/>
      <c r="S56" s="35" t="s">
        <v>2</v>
      </c>
      <c r="T56" s="36"/>
      <c r="U56" s="365">
        <f>ABS(INDEX(U:U,MATCH(U52,$S:$S,0)+8)+INDEX(U:U,MATCH(U52,$S:$S,0)+9)+INDEX(U:U,MATCH(U52,$S:$S,0)+10))</f>
        <v>128</v>
      </c>
      <c r="V56" s="366"/>
      <c r="W56" s="365">
        <f>ABS(INDEX(W:W,MATCH(W52,$S:$S,0)+8)+INDEX(W:W,MATCH(W52,$S:$S,0)+9)+INDEX(W:W,MATCH(W52,$S:$S,0)+10))</f>
        <v>164</v>
      </c>
      <c r="X56" s="366"/>
      <c r="Y56" s="365">
        <f>ABS(INDEX(Y:Y,MATCH(Y52,$S:$S,0)+8)+INDEX(Y:Y,MATCH(Y52,$S:$S,0)+9)+INDEX(Y:Y,MATCH(Y52,$S:$S,0)+10))</f>
        <v>196</v>
      </c>
      <c r="Z56" s="366"/>
      <c r="AA56" s="365">
        <f>ABS(INDEX(AA:AA,MATCH(AA52,$S:$S,0)+8)+INDEX(AA:AA,MATCH(AA52,$S:$S,0)+9)+INDEX(AA:AA,MATCH(AA52,$S:$S,0)+10))</f>
        <v>156</v>
      </c>
      <c r="AB56" s="366"/>
      <c r="AC56" s="365">
        <f>ABS(INDEX(AC:AC,MATCH(AC52,$S:$S,0)+8)+INDEX(AC:AC,MATCH(AC52,$S:$S,0)+9)+INDEX(AC:AC,MATCH(AC52,$S:$S,0)+10))</f>
        <v>161</v>
      </c>
      <c r="AD56" s="36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12"/>
      <c r="BB56" s="213"/>
      <c r="BC56" s="214"/>
      <c r="BM56" s="216"/>
      <c r="BN56" s="214"/>
      <c r="BR56" s="214"/>
      <c r="BV56" s="214"/>
    </row>
    <row r="57" spans="1:74" ht="15.95" customHeight="1" x14ac:dyDescent="0.2">
      <c r="B57" s="371" t="str">
        <f t="shared" si="51"/>
        <v>Spieler 3</v>
      </c>
      <c r="C57" s="372" t="str">
        <f t="shared" si="52"/>
        <v/>
      </c>
      <c r="D57" s="344">
        <f>IF(U57=301,"",U57)</f>
        <v>173</v>
      </c>
      <c r="E57" s="344" t="str">
        <f>IF(V57=0,"",V57)</f>
        <v/>
      </c>
      <c r="F57" s="344">
        <f>IF(W57=301,"",W57)</f>
        <v>183</v>
      </c>
      <c r="G57" s="344" t="str">
        <f>IF(X57=0,"",X57)</f>
        <v/>
      </c>
      <c r="H57" s="344">
        <f>IF(Y57=301,"",Y57)</f>
        <v>168</v>
      </c>
      <c r="I57" s="344" t="str">
        <f>IF(Z57=0,"",Z57)</f>
        <v/>
      </c>
      <c r="J57" s="344">
        <f>IF(AA57=301,"",AA57)</f>
        <v>212</v>
      </c>
      <c r="K57" s="344" t="str">
        <f>IF(AB57=0,"",AB57)</f>
        <v/>
      </c>
      <c r="L57" s="344">
        <f>IF(AC57=301,"",AC57)</f>
        <v>201</v>
      </c>
      <c r="M57" s="344" t="str">
        <f>IF(AD57=0,"",AD57)</f>
        <v/>
      </c>
      <c r="N57" s="345"/>
      <c r="O57" s="345"/>
      <c r="S57" s="35" t="s">
        <v>3</v>
      </c>
      <c r="T57" s="36"/>
      <c r="U57" s="365">
        <f>ABS(INDEX(U:U,MATCH(U52,$S:$S,0)+11)+INDEX(U:U,MATCH(U52,$S:$S,0)+12)+INDEX(U:U,MATCH(U52,$S:$S,0)+13))</f>
        <v>173</v>
      </c>
      <c r="V57" s="366"/>
      <c r="W57" s="365">
        <f>ABS(INDEX(W:W,MATCH(W52,$S:$S,0)+11)+INDEX(W:W,MATCH(W52,$S:$S,0)+12)+INDEX(W:W,MATCH(W52,$S:$S,0)+13))</f>
        <v>183</v>
      </c>
      <c r="X57" s="366"/>
      <c r="Y57" s="365">
        <f>ABS(INDEX(Y:Y,MATCH(Y52,$S:$S,0)+11)+INDEX(Y:Y,MATCH(Y52,$S:$S,0)+12)+INDEX(Y:Y,MATCH(Y52,$S:$S,0)+13))</f>
        <v>168</v>
      </c>
      <c r="Z57" s="366"/>
      <c r="AA57" s="365">
        <f>ABS(INDEX(AA:AA,MATCH(AA52,$S:$S,0)+11)+INDEX(AA:AA,MATCH(AA52,$S:$S,0)+12)+INDEX(AA:AA,MATCH(AA52,$S:$S,0)+13))</f>
        <v>212</v>
      </c>
      <c r="AB57" s="366"/>
      <c r="AC57" s="365">
        <f>ABS(INDEX(AC:AC,MATCH(AC52,$S:$S,0)+11)+INDEX(AC:AC,MATCH(AC52,$S:$S,0)+12)+INDEX(AC:AC,MATCH(AC52,$S:$S,0)+13))</f>
        <v>201</v>
      </c>
      <c r="AD57" s="36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12"/>
      <c r="BB57" s="213"/>
      <c r="BC57" s="214"/>
      <c r="BM57" s="216"/>
      <c r="BN57" s="214"/>
      <c r="BR57" s="214"/>
      <c r="BV57" s="214"/>
    </row>
    <row r="58" spans="1:74" ht="15.95" customHeight="1" x14ac:dyDescent="0.2">
      <c r="B58" s="371" t="str">
        <f t="shared" si="51"/>
        <v>Spieler 4</v>
      </c>
      <c r="C58" s="372" t="str">
        <f t="shared" si="52"/>
        <v/>
      </c>
      <c r="D58" s="344">
        <f>IF(U58=301,"",U58)</f>
        <v>173</v>
      </c>
      <c r="E58" s="344" t="str">
        <f>IF(V58=0,"",V58)</f>
        <v/>
      </c>
      <c r="F58" s="344">
        <f>IF(W58=301,"",W58)</f>
        <v>191</v>
      </c>
      <c r="G58" s="344" t="str">
        <f>IF(X58=0,"",X58)</f>
        <v/>
      </c>
      <c r="H58" s="344">
        <f>IF(Y58=301,"",Y58)</f>
        <v>256</v>
      </c>
      <c r="I58" s="344" t="str">
        <f>IF(Z58=0,"",Z58)</f>
        <v/>
      </c>
      <c r="J58" s="344">
        <f>IF(AA58=301,"",AA58)</f>
        <v>173</v>
      </c>
      <c r="K58" s="344" t="str">
        <f>IF(AB58=0,"",AB58)</f>
        <v/>
      </c>
      <c r="L58" s="344">
        <f>IF(AC58=301,"",AC58)</f>
        <v>235</v>
      </c>
      <c r="M58" s="344" t="str">
        <f>IF(AD58=0,"",AD58)</f>
        <v/>
      </c>
      <c r="N58" s="345"/>
      <c r="O58" s="345"/>
      <c r="S58" s="35" t="s">
        <v>11</v>
      </c>
      <c r="T58" s="36"/>
      <c r="U58" s="365">
        <f>ABS(INDEX(U:U,MATCH(U52,$S:$S,0)+14)+INDEX(U:U,MATCH(U52,$S:$S,0)+15)+INDEX(U:U,MATCH(U52,$S:$S,0)+16))</f>
        <v>173</v>
      </c>
      <c r="V58" s="366"/>
      <c r="W58" s="365">
        <f>ABS(INDEX(W:W,MATCH(W52,$S:$S,0)+14)+INDEX(W:W,MATCH(W52,$S:$S,0)+15)+INDEX(W:W,MATCH(W52,$S:$S,0)+16))</f>
        <v>191</v>
      </c>
      <c r="X58" s="366"/>
      <c r="Y58" s="365">
        <f>ABS(INDEX(Y:Y,MATCH(Y52,$S:$S,0)+14)+INDEX(Y:Y,MATCH(Y52,$S:$S,0)+15)+INDEX(Y:Y,MATCH(Y52,$S:$S,0)+16))</f>
        <v>256</v>
      </c>
      <c r="Z58" s="366"/>
      <c r="AA58" s="365">
        <f>ABS(INDEX(AA:AA,MATCH(AA52,$S:$S,0)+14)+INDEX(AA:AA,MATCH(AA52,$S:$S,0)+15)+INDEX(AA:AA,MATCH(AA52,$S:$S,0)+16))</f>
        <v>173</v>
      </c>
      <c r="AB58" s="366"/>
      <c r="AC58" s="365">
        <f>ABS(INDEX(AC:AC,MATCH(AC52,$S:$S,0)+14)+INDEX(AC:AC,MATCH(AC52,$S:$S,0)+15)+INDEX(AC:AC,MATCH(AC52,$S:$S,0)+16))</f>
        <v>235</v>
      </c>
      <c r="AD58" s="36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12"/>
      <c r="BB58" s="213"/>
      <c r="BC58" s="214"/>
      <c r="BM58" s="216"/>
      <c r="BN58" s="214"/>
      <c r="BR58" s="214"/>
      <c r="BV58" s="214"/>
    </row>
    <row r="59" spans="1:74" ht="15.95" customHeight="1" x14ac:dyDescent="0.2">
      <c r="B59" s="359" t="str">
        <f t="shared" si="51"/>
        <v>Gesamt</v>
      </c>
      <c r="C59" s="360" t="str">
        <f t="shared" si="52"/>
        <v/>
      </c>
      <c r="D59" s="343">
        <f>IF(U59=1505,"",U59)</f>
        <v>665</v>
      </c>
      <c r="E59" s="343" t="str">
        <f>IF(V59=0,"",V59)</f>
        <v/>
      </c>
      <c r="F59" s="343">
        <f>IF(W59=1505,"",W59)</f>
        <v>740</v>
      </c>
      <c r="G59" s="343" t="str">
        <f>IF(X59=0,"",X59)</f>
        <v/>
      </c>
      <c r="H59" s="343">
        <f>IF(Y59=1505,"",Y59)</f>
        <v>765</v>
      </c>
      <c r="I59" s="343" t="str">
        <f>IF(Z59=0,"",Z59)</f>
        <v/>
      </c>
      <c r="J59" s="343">
        <f>IF(AA59=1505,"",AA59)</f>
        <v>714</v>
      </c>
      <c r="K59" s="343" t="str">
        <f>IF(AB59=0,"",AB59)</f>
        <v/>
      </c>
      <c r="L59" s="343">
        <f>IF(AC59=1505,"",AC59)</f>
        <v>766</v>
      </c>
      <c r="M59" s="343" t="str">
        <f>IF(AD59=0,"",AD59)</f>
        <v/>
      </c>
      <c r="N59" s="298"/>
      <c r="O59" s="298"/>
      <c r="S59" s="37" t="s">
        <v>1791</v>
      </c>
      <c r="T59" s="38"/>
      <c r="U59" s="359">
        <f>SUM(U55:U58)</f>
        <v>665</v>
      </c>
      <c r="V59" s="360"/>
      <c r="W59" s="359">
        <f>SUM(W55:W58)</f>
        <v>740</v>
      </c>
      <c r="X59" s="360"/>
      <c r="Y59" s="359">
        <f>SUM(Y55:Y58)</f>
        <v>765</v>
      </c>
      <c r="Z59" s="360"/>
      <c r="AA59" s="359">
        <f>SUM(AA55:AA58)</f>
        <v>714</v>
      </c>
      <c r="AB59" s="360"/>
      <c r="AC59" s="359">
        <f>SUM(AC55:AC58)</f>
        <v>766</v>
      </c>
      <c r="AD59" s="360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212"/>
      <c r="BB59" s="213"/>
      <c r="BC59" s="214"/>
      <c r="BM59" s="216"/>
      <c r="BN59" s="214"/>
      <c r="BR59" s="214"/>
      <c r="BV59" s="214"/>
    </row>
    <row r="60" spans="1:74" ht="10.5" customHeight="1" x14ac:dyDescent="0.2">
      <c r="B60" s="3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3"/>
      <c r="T60" s="1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12"/>
      <c r="BB60" s="213"/>
      <c r="BC60" s="214"/>
      <c r="BM60" s="216"/>
      <c r="BN60" s="214"/>
      <c r="BR60" s="214"/>
      <c r="BV60" s="214"/>
    </row>
    <row r="61" spans="1:74" ht="21" customHeight="1" x14ac:dyDescent="0.35">
      <c r="B61" s="7" t="str">
        <f>S61</f>
        <v>Team-Nr.</v>
      </c>
      <c r="C61" s="25"/>
      <c r="D61" s="7" t="str">
        <f>U61</f>
        <v>Liga:</v>
      </c>
      <c r="E61" s="77" t="str">
        <f>V61</f>
        <v>Bezirksliga N1 Männer</v>
      </c>
      <c r="F61" s="25"/>
      <c r="G61" s="25"/>
      <c r="H61" s="25"/>
      <c r="I61" s="25"/>
      <c r="J61" s="25"/>
      <c r="K61" s="25"/>
      <c r="L61" s="25"/>
      <c r="M61" s="376" t="str">
        <f>AD61</f>
        <v>13.10.</v>
      </c>
      <c r="N61" s="376"/>
      <c r="O61" s="376"/>
      <c r="P61" s="377"/>
      <c r="Q61" s="377"/>
      <c r="R61" s="377"/>
      <c r="S61" s="7" t="s">
        <v>1801</v>
      </c>
      <c r="T61" s="25"/>
      <c r="U61" s="30" t="s">
        <v>1785</v>
      </c>
      <c r="V61" s="77" t="str">
        <f>Schlüssel!$C$1</f>
        <v>Bezirksliga N1 Männer</v>
      </c>
      <c r="X61" s="25"/>
      <c r="Y61" s="25"/>
      <c r="Z61" s="25"/>
      <c r="AA61" s="25"/>
      <c r="AC61" s="29"/>
      <c r="AD61" s="358" t="str">
        <f>Schlüssel!$M$1</f>
        <v>13.10.</v>
      </c>
      <c r="AE61" s="358"/>
      <c r="AF61" s="358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212" t="s">
        <v>2078</v>
      </c>
      <c r="BB61" s="213" t="s">
        <v>1799</v>
      </c>
      <c r="BC61" s="214" t="s">
        <v>1823</v>
      </c>
      <c r="BD61" s="215" t="s">
        <v>1814</v>
      </c>
      <c r="BE61" s="215" t="s">
        <v>1799</v>
      </c>
      <c r="BF61" s="215" t="s">
        <v>1819</v>
      </c>
      <c r="BG61" s="215" t="s">
        <v>1815</v>
      </c>
      <c r="BH61" s="215" t="s">
        <v>2079</v>
      </c>
      <c r="BI61" s="215" t="s">
        <v>2080</v>
      </c>
      <c r="BJ61" s="215" t="s">
        <v>2081</v>
      </c>
      <c r="BK61" s="215" t="s">
        <v>2082</v>
      </c>
      <c r="BL61" s="215" t="s">
        <v>2083</v>
      </c>
      <c r="BM61" s="216" t="s">
        <v>2084</v>
      </c>
      <c r="BN61" s="214" t="s">
        <v>1820</v>
      </c>
      <c r="BO61" s="215" t="s">
        <v>2085</v>
      </c>
      <c r="BP61" s="215" t="s">
        <v>2086</v>
      </c>
      <c r="BQ61" s="215" t="s">
        <v>1823</v>
      </c>
      <c r="BR61" s="214" t="s">
        <v>1820</v>
      </c>
      <c r="BS61" s="216" t="s">
        <v>2087</v>
      </c>
      <c r="BT61" s="215" t="s">
        <v>2088</v>
      </c>
      <c r="BU61" s="215" t="s">
        <v>2089</v>
      </c>
      <c r="BV61" s="214" t="s">
        <v>1820</v>
      </c>
    </row>
    <row r="62" spans="1:74" ht="17.25" customHeight="1" thickBot="1" x14ac:dyDescent="0.3">
      <c r="B62" s="50">
        <f>S62</f>
        <v>3</v>
      </c>
      <c r="D62" s="30" t="str">
        <f>U62</f>
        <v>Ort:</v>
      </c>
      <c r="E62" s="84" t="str">
        <f>V62</f>
        <v>Nürnberg West Bowling</v>
      </c>
      <c r="F62" s="77"/>
      <c r="G62" s="77"/>
      <c r="H62" s="77"/>
      <c r="I62" s="77"/>
      <c r="J62" s="77"/>
      <c r="K62" s="77"/>
      <c r="L62" s="29" t="str">
        <f>AC62</f>
        <v>Spieltag:</v>
      </c>
      <c r="M62" s="86">
        <f>AD62</f>
        <v>1</v>
      </c>
      <c r="N62" s="28"/>
      <c r="R62" s="49"/>
      <c r="S62" s="50">
        <v>3</v>
      </c>
      <c r="U62" s="30" t="s">
        <v>1786</v>
      </c>
      <c r="V62" s="84" t="str">
        <f>Schlüssel!$C$2</f>
        <v>Nürnberg West Bowling</v>
      </c>
      <c r="X62" s="77"/>
      <c r="Y62" s="77"/>
      <c r="Z62" s="77"/>
      <c r="AA62" s="77"/>
      <c r="AB62" s="77"/>
      <c r="AC62" s="29" t="s">
        <v>1784</v>
      </c>
      <c r="AD62" s="34">
        <v>1</v>
      </c>
      <c r="AE62" s="28"/>
      <c r="BA62" s="212"/>
      <c r="BB62" s="213"/>
      <c r="BC62" s="214"/>
      <c r="BM62" s="216"/>
      <c r="BN62" s="214"/>
      <c r="BR62" s="214"/>
      <c r="BS62" s="216"/>
      <c r="BV62" s="214"/>
    </row>
    <row r="63" spans="1:74" ht="15.75" customHeight="1" thickBot="1" x14ac:dyDescent="0.25">
      <c r="B63" s="32" t="str">
        <f>VLOOKUP(B62,Schlüssel!$A$5:$B$10,2)</f>
        <v>Kings Club Bayreuth Land 2</v>
      </c>
      <c r="C63" s="31"/>
      <c r="D63" s="42"/>
      <c r="E63" s="46"/>
      <c r="F63" s="48"/>
      <c r="G63" s="27"/>
      <c r="H63" s="27"/>
      <c r="I63" s="27"/>
      <c r="J63" s="27"/>
      <c r="K63" s="27"/>
      <c r="L63" s="27"/>
      <c r="M63" s="85"/>
      <c r="S63" s="32" t="str">
        <f>VLOOKUP(S62,Schlüssel!$A$5:$B$10,2)</f>
        <v>Kings Club Bayreuth Land 2</v>
      </c>
      <c r="T63" s="31"/>
      <c r="U63" s="31"/>
      <c r="V63" s="190"/>
      <c r="W63" s="61"/>
      <c r="BA63" s="212"/>
      <c r="BB63" s="213"/>
      <c r="BC63" s="214"/>
      <c r="BM63" s="216"/>
      <c r="BN63" s="214"/>
      <c r="BR63" s="214"/>
      <c r="BS63" s="216"/>
      <c r="BV63" s="214"/>
    </row>
    <row r="64" spans="1:74" ht="13.5" thickBot="1" x14ac:dyDescent="0.25">
      <c r="A64" s="33"/>
      <c r="B64" s="7"/>
      <c r="C64" s="39"/>
      <c r="D64" s="43" t="s">
        <v>10</v>
      </c>
      <c r="E64" s="7">
        <f>VLOOKUP($B$2,Schlüssel!$A$5:$DZ$10,13)</f>
        <v>1</v>
      </c>
      <c r="F64" s="47" t="s">
        <v>10</v>
      </c>
      <c r="G64" s="7">
        <f>VLOOKUP($B$2,Schlüssel!$A$5:$DZ$10,14)</f>
        <v>3</v>
      </c>
      <c r="H64" s="47" t="s">
        <v>10</v>
      </c>
      <c r="I64" s="7">
        <f>VLOOKUP($B$2,Schlüssel!$A$5:$DZ$10,15)</f>
        <v>2</v>
      </c>
      <c r="J64" s="47" t="s">
        <v>10</v>
      </c>
      <c r="K64" s="7">
        <f>VLOOKUP($B$2,Schlüssel!$A$5:$DZ$10,16)</f>
        <v>4</v>
      </c>
      <c r="L64" s="47" t="s">
        <v>10</v>
      </c>
      <c r="M64" s="7">
        <f>VLOOKUP($B$2,Schlüssel!$A$5:$DZ$10,17)</f>
        <v>1</v>
      </c>
      <c r="R64" s="6"/>
      <c r="S64" s="7"/>
      <c r="T64" s="39"/>
      <c r="U64" s="194" t="s">
        <v>10</v>
      </c>
      <c r="V64" s="191">
        <f>VLOOKUP($S62,Schlüssel!$A$5:$DZ$10,13)</f>
        <v>3</v>
      </c>
      <c r="W64" s="193" t="s">
        <v>10</v>
      </c>
      <c r="X64" s="191">
        <f>VLOOKUP($S62,Schlüssel!$A$5:$DZ$10,14)</f>
        <v>6</v>
      </c>
      <c r="Y64" s="193" t="s">
        <v>10</v>
      </c>
      <c r="Z64" s="191">
        <f>VLOOKUP($S62,Schlüssel!$A$5:$DZ$10,15)</f>
        <v>1</v>
      </c>
      <c r="AA64" s="193" t="s">
        <v>10</v>
      </c>
      <c r="AB64" s="191">
        <f>VLOOKUP($S62,Schlüssel!$A$5:$DZ$10,16)</f>
        <v>5</v>
      </c>
      <c r="AC64" s="193" t="s">
        <v>10</v>
      </c>
      <c r="AD64" s="192">
        <f>VLOOKUP($S62,Schlüssel!$A$5:$DZ$10,17)</f>
        <v>4</v>
      </c>
      <c r="BA64" s="212"/>
      <c r="BB64" s="213"/>
      <c r="BC64" s="214"/>
      <c r="BM64" s="216"/>
      <c r="BN64" s="214"/>
      <c r="BR64" s="214"/>
      <c r="BS64" s="216"/>
      <c r="BV64" s="214"/>
    </row>
    <row r="65" spans="1:74" ht="20.25" customHeight="1" x14ac:dyDescent="0.2">
      <c r="B65" s="40" t="s">
        <v>1</v>
      </c>
      <c r="C65" s="41"/>
      <c r="D65" s="359" t="s">
        <v>1792</v>
      </c>
      <c r="E65" s="360"/>
      <c r="F65" s="359" t="s">
        <v>1793</v>
      </c>
      <c r="G65" s="360"/>
      <c r="H65" s="359" t="s">
        <v>1794</v>
      </c>
      <c r="I65" s="360"/>
      <c r="J65" s="359" t="s">
        <v>1795</v>
      </c>
      <c r="K65" s="360"/>
      <c r="L65" s="359" t="s">
        <v>1796</v>
      </c>
      <c r="M65" s="360"/>
      <c r="N65" s="361" t="s">
        <v>1791</v>
      </c>
      <c r="O65" s="362"/>
      <c r="S65" s="40" t="s">
        <v>1</v>
      </c>
      <c r="T65" s="41"/>
      <c r="U65" s="359" t="s">
        <v>1792</v>
      </c>
      <c r="V65" s="360"/>
      <c r="W65" s="359" t="s">
        <v>1793</v>
      </c>
      <c r="X65" s="360"/>
      <c r="Y65" s="359" t="s">
        <v>1794</v>
      </c>
      <c r="Z65" s="360"/>
      <c r="AA65" s="359" t="s">
        <v>1795</v>
      </c>
      <c r="AB65" s="360"/>
      <c r="AC65" s="359" t="s">
        <v>1796</v>
      </c>
      <c r="AD65" s="363"/>
      <c r="AE65" s="364" t="s">
        <v>1791</v>
      </c>
      <c r="AF65" s="3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212"/>
      <c r="BB65" s="213"/>
      <c r="BC65" s="214"/>
      <c r="BM65" s="216"/>
      <c r="BN65" s="214"/>
      <c r="BR65" s="214"/>
      <c r="BV65" s="214"/>
    </row>
    <row r="66" spans="1:74" ht="15" customHeight="1" thickBot="1" x14ac:dyDescent="0.25">
      <c r="B66" s="9" t="s">
        <v>1797</v>
      </c>
      <c r="C66" s="44" t="s">
        <v>1798</v>
      </c>
      <c r="D66" s="45" t="s">
        <v>1799</v>
      </c>
      <c r="E66" s="45" t="s">
        <v>1800</v>
      </c>
      <c r="F66" s="45" t="s">
        <v>1799</v>
      </c>
      <c r="G66" s="45" t="s">
        <v>1800</v>
      </c>
      <c r="H66" s="45" t="s">
        <v>1799</v>
      </c>
      <c r="I66" s="45" t="s">
        <v>1800</v>
      </c>
      <c r="J66" s="45" t="s">
        <v>1799</v>
      </c>
      <c r="K66" s="45" t="s">
        <v>1800</v>
      </c>
      <c r="L66" s="45" t="s">
        <v>1799</v>
      </c>
      <c r="M66" s="45" t="s">
        <v>1800</v>
      </c>
      <c r="N66" s="45" t="s">
        <v>1799</v>
      </c>
      <c r="O66" s="10" t="s">
        <v>1800</v>
      </c>
      <c r="S66" s="9" t="s">
        <v>1797</v>
      </c>
      <c r="T66" s="44" t="s">
        <v>1798</v>
      </c>
      <c r="U66" s="45" t="s">
        <v>1799</v>
      </c>
      <c r="V66" s="45" t="s">
        <v>1800</v>
      </c>
      <c r="W66" s="45" t="s">
        <v>1799</v>
      </c>
      <c r="X66" s="45" t="s">
        <v>1800</v>
      </c>
      <c r="Y66" s="45" t="s">
        <v>1799</v>
      </c>
      <c r="Z66" s="45" t="s">
        <v>1800</v>
      </c>
      <c r="AA66" s="45" t="s">
        <v>1799</v>
      </c>
      <c r="AB66" s="45" t="s">
        <v>1800</v>
      </c>
      <c r="AC66" s="45" t="s">
        <v>1799</v>
      </c>
      <c r="AD66" s="45" t="s">
        <v>1800</v>
      </c>
      <c r="AE66" s="9" t="s">
        <v>1799</v>
      </c>
      <c r="AF66" s="10" t="s">
        <v>1800</v>
      </c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212"/>
      <c r="BB66" s="213"/>
      <c r="BC66" s="214"/>
      <c r="BM66" s="216"/>
      <c r="BN66" s="214"/>
      <c r="BR66" s="214"/>
      <c r="BV66" s="214"/>
    </row>
    <row r="67" spans="1:74" ht="17.100000000000001" customHeight="1" x14ac:dyDescent="0.2">
      <c r="A67" s="373" t="s">
        <v>0</v>
      </c>
      <c r="B67" s="17" t="str">
        <f>IF(S67=0,"",S67)</f>
        <v>Wallner, Harald</v>
      </c>
      <c r="C67" s="18">
        <f>IF(T67=0,"",T67)</f>
        <v>7128</v>
      </c>
      <c r="D67" s="14">
        <f>IF(U67=0,"",U67)</f>
        <v>182</v>
      </c>
      <c r="E67" s="352">
        <f>IF(V67="","",V67)</f>
        <v>1</v>
      </c>
      <c r="F67" s="14">
        <f t="shared" ref="F67:F80" si="54">IF(W67=0,"",W67)</f>
        <v>202</v>
      </c>
      <c r="G67" s="352">
        <f>IF(X67="","",X67)</f>
        <v>1</v>
      </c>
      <c r="H67" s="14">
        <f t="shared" ref="H67:H80" si="55">IF(Y67=0,"",Y67)</f>
        <v>203</v>
      </c>
      <c r="I67" s="352">
        <f>IF(Z67="","",Z67)</f>
        <v>1</v>
      </c>
      <c r="J67" s="14">
        <f t="shared" ref="J67:J80" si="56">IF(AA67=0,"",AA67)</f>
        <v>144</v>
      </c>
      <c r="K67" s="352">
        <f>IF(AB67="","",AB67)</f>
        <v>0</v>
      </c>
      <c r="L67" s="14">
        <f t="shared" ref="L67:L80" si="57">IF(AC67=0,"",AC67)</f>
        <v>149</v>
      </c>
      <c r="M67" s="352">
        <f>IF(AD67="","",AD67)</f>
        <v>1</v>
      </c>
      <c r="N67" s="14">
        <f t="shared" ref="N67:N80" si="58">IF(AE67=0,"",AE67)</f>
        <v>880</v>
      </c>
      <c r="O67" s="352">
        <f>IF(AF67="","",AF67)</f>
        <v>4</v>
      </c>
      <c r="R67" s="355" t="s">
        <v>0</v>
      </c>
      <c r="S67" s="68" t="str">
        <f>IF(T67=0,"",VLOOKUP(T67,Starter!$A$1:$D$196,2,FALSE))</f>
        <v>Wallner, Harald</v>
      </c>
      <c r="T67" s="175">
        <v>7128</v>
      </c>
      <c r="U67" s="183">
        <v>182</v>
      </c>
      <c r="V67" s="95">
        <f>IF(SUM(U67:U69)+U85=0,0,IF(ABS(SUM(U67:U69))=U85,0.5,IF(ABS(SUM(U67:U69))&gt;U85,1,0)))</f>
        <v>1</v>
      </c>
      <c r="W67" s="183">
        <v>202</v>
      </c>
      <c r="X67" s="95">
        <f>IF(SUM(W67:W69)+W85=0,0,IF(ABS(SUM(W67:W69))=W85,0.5,IF(ABS(SUM(W67:W69))&gt;W85,1,0)))</f>
        <v>1</v>
      </c>
      <c r="Y67" s="183">
        <v>203</v>
      </c>
      <c r="Z67" s="95">
        <f>IF(SUM(Y67:Y69)+Y85=0,0,IF(ABS(SUM(Y67:Y69))=Y85,0.5,IF(ABS(SUM(Y67:Y69))&gt;Y85,1,0)))</f>
        <v>1</v>
      </c>
      <c r="AA67" s="189">
        <v>144</v>
      </c>
      <c r="AB67" s="95">
        <f>IF(SUM(AA67:AA69)+AA85=0,0,IF(ABS(SUM(AA67:AA69))=AA85,0.5,IF(ABS(SUM(AA67:AA69))&gt;AA85,1,0)))</f>
        <v>0</v>
      </c>
      <c r="AC67" s="183">
        <v>149</v>
      </c>
      <c r="AD67" s="95">
        <f>IF(SUM(AC67:AC69)+AC85=0,0,IF(ABS(SUM(AC67:AC69))=AC85,0.5,IF(ABS(SUM(AC67:AC69))&gt;AC85,1,0)))</f>
        <v>1</v>
      </c>
      <c r="AE67" s="195">
        <f t="shared" ref="AE67:AE78" si="59">ABS(SUM(U67:U67))+ABS(SUM(W67:W67))+ABS(SUM(Y67:Y67))+ABS(SUM(AA67:AA67))+ABS(SUM(AC67:AC67))</f>
        <v>880</v>
      </c>
      <c r="AF67" s="180">
        <f>SUM(V67+X67+Z67+AB67+AD67)</f>
        <v>4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212"/>
      <c r="BB67" s="213"/>
      <c r="BC67" s="214"/>
      <c r="BD67" s="217">
        <f t="shared" ref="BD67:BD78" si="60">T67</f>
        <v>7128</v>
      </c>
      <c r="BE67" s="213">
        <f t="shared" ref="BE67:BE78" si="61">AE67</f>
        <v>880</v>
      </c>
      <c r="BF67" s="215">
        <f t="shared" ref="BF67:BF78" si="62">COUNT(BH67:BL67)</f>
        <v>5</v>
      </c>
      <c r="BG67" s="215">
        <f t="shared" ref="BG67:BG78" si="63">COUNTIF(BH67:BL67,"&gt;0")</f>
        <v>5</v>
      </c>
      <c r="BH67" s="215">
        <f t="shared" ref="BH67:BH78" si="64">IF(U67=0,"",U67)</f>
        <v>182</v>
      </c>
      <c r="BI67" s="215">
        <f t="shared" ref="BI67:BI78" si="65">IF(W67=0,"",W67)</f>
        <v>202</v>
      </c>
      <c r="BJ67" s="215">
        <f t="shared" ref="BJ67:BJ78" si="66">IF(Y67=0,"",Y67)</f>
        <v>203</v>
      </c>
      <c r="BK67" s="215">
        <f t="shared" ref="BK67:BK78" si="67">IF(AA67=0,"",AA67)</f>
        <v>144</v>
      </c>
      <c r="BL67" s="215">
        <f t="shared" ref="BL67:BL78" si="68">IF(AC67=0,"",AC67)</f>
        <v>149</v>
      </c>
      <c r="BM67" s="216"/>
      <c r="BN67" s="214"/>
      <c r="BO67" s="215">
        <f t="shared" ref="BO67:BO78" si="69">MAX(BH67:BL67)</f>
        <v>203</v>
      </c>
      <c r="BP67" s="215">
        <f t="shared" ref="BP67:BP78" si="70">IF(BO67&lt;MAX(BO:BO),0,BO67+ROW()/1000000000)</f>
        <v>0</v>
      </c>
      <c r="BQ67" s="215" t="str">
        <f>+S63</f>
        <v>Kings Club Bayreuth Land 2</v>
      </c>
      <c r="BR67" s="214">
        <f t="shared" ref="BR67:BR78" si="71">RANK(BP67,BP:BP)</f>
        <v>2</v>
      </c>
      <c r="BS67" s="215">
        <f t="shared" ref="BS67:BS78" si="72">SUMIF(BH67:BL67,"&gt;0")</f>
        <v>880</v>
      </c>
      <c r="BT67" s="215">
        <f>IF(COUNTIF(BH67:BL67,"&gt;0")&lt;Spielorte!$A$23,0,BE67/Spielorte!$A$23)</f>
        <v>176</v>
      </c>
      <c r="BU67" s="215">
        <f t="shared" ref="BU67:BU78" si="73">IF(BT67&lt;MAX(BT:BT),0,BT67+ROW()/1000000000)</f>
        <v>0</v>
      </c>
      <c r="BV67" s="214">
        <f t="shared" ref="BV67:BV78" si="74">IF(BU67=0,0,RANK(BU67,BU:BU))</f>
        <v>0</v>
      </c>
    </row>
    <row r="68" spans="1:74" ht="17.100000000000001" customHeight="1" x14ac:dyDescent="0.2">
      <c r="A68" s="374"/>
      <c r="B68" s="19" t="str">
        <f t="shared" ref="B68:B75" si="75">IF(S68=0,"",S68)</f>
        <v/>
      </c>
      <c r="C68" s="20" t="str">
        <f t="shared" ref="C68:C80" si="76">IF(T68=0,"",T68)</f>
        <v/>
      </c>
      <c r="D68" s="15" t="str">
        <f t="shared" ref="D68:D80" si="77">IF(U68=0,"",U68)</f>
        <v/>
      </c>
      <c r="E68" s="353"/>
      <c r="F68" s="15" t="str">
        <f t="shared" si="54"/>
        <v/>
      </c>
      <c r="G68" s="353"/>
      <c r="H68" s="15" t="str">
        <f t="shared" si="55"/>
        <v/>
      </c>
      <c r="I68" s="353"/>
      <c r="J68" s="15" t="str">
        <f t="shared" si="56"/>
        <v/>
      </c>
      <c r="K68" s="353"/>
      <c r="L68" s="15" t="str">
        <f t="shared" si="57"/>
        <v/>
      </c>
      <c r="M68" s="353"/>
      <c r="N68" s="15" t="str">
        <f t="shared" si="58"/>
        <v/>
      </c>
      <c r="O68" s="353"/>
      <c r="R68" s="356"/>
      <c r="S68" s="68" t="str">
        <f>IF(T68=0,"",VLOOKUP(T68,Starter!$A$1:$D$196,2,FALSE))</f>
        <v/>
      </c>
      <c r="T68" s="176"/>
      <c r="U68" s="184"/>
      <c r="V68" s="96"/>
      <c r="W68" s="184"/>
      <c r="X68" s="96"/>
      <c r="Y68" s="184"/>
      <c r="Z68" s="96"/>
      <c r="AA68" s="184"/>
      <c r="AB68" s="96"/>
      <c r="AC68" s="184"/>
      <c r="AD68" s="96"/>
      <c r="AE68" s="196">
        <f t="shared" si="59"/>
        <v>0</v>
      </c>
      <c r="AF68" s="181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212"/>
      <c r="BB68" s="213"/>
      <c r="BC68" s="214"/>
      <c r="BD68" s="217">
        <f t="shared" si="60"/>
        <v>0</v>
      </c>
      <c r="BE68" s="213">
        <f t="shared" si="61"/>
        <v>0</v>
      </c>
      <c r="BF68" s="215">
        <f t="shared" si="62"/>
        <v>0</v>
      </c>
      <c r="BG68" s="215">
        <f t="shared" si="63"/>
        <v>0</v>
      </c>
      <c r="BH68" s="215" t="str">
        <f t="shared" si="64"/>
        <v/>
      </c>
      <c r="BI68" s="215" t="str">
        <f t="shared" si="65"/>
        <v/>
      </c>
      <c r="BJ68" s="215" t="str">
        <f t="shared" si="66"/>
        <v/>
      </c>
      <c r="BK68" s="215" t="str">
        <f t="shared" si="67"/>
        <v/>
      </c>
      <c r="BL68" s="215" t="str">
        <f t="shared" si="68"/>
        <v/>
      </c>
      <c r="BM68" s="216"/>
      <c r="BN68" s="214"/>
      <c r="BO68" s="215">
        <f t="shared" si="69"/>
        <v>0</v>
      </c>
      <c r="BP68" s="215">
        <f t="shared" si="70"/>
        <v>0</v>
      </c>
      <c r="BQ68" s="215" t="str">
        <f t="shared" ref="BQ68:BQ78" si="78">+BQ67</f>
        <v>Kings Club Bayreuth Land 2</v>
      </c>
      <c r="BR68" s="214">
        <f t="shared" si="71"/>
        <v>2</v>
      </c>
      <c r="BS68" s="215">
        <f t="shared" si="72"/>
        <v>0</v>
      </c>
      <c r="BT68" s="215">
        <f>IF(COUNTIF(BH68:BL68,"&gt;0")&lt;Spielorte!$A$23,0,BE68/Spielorte!$A$23)</f>
        <v>0</v>
      </c>
      <c r="BU68" s="215">
        <f t="shared" si="73"/>
        <v>0</v>
      </c>
      <c r="BV68" s="214">
        <f t="shared" si="74"/>
        <v>0</v>
      </c>
    </row>
    <row r="69" spans="1:74" ht="17.100000000000001" customHeight="1" thickBot="1" x14ac:dyDescent="0.25">
      <c r="A69" s="375"/>
      <c r="B69" s="21" t="str">
        <f t="shared" si="75"/>
        <v/>
      </c>
      <c r="C69" s="22" t="str">
        <f t="shared" si="76"/>
        <v/>
      </c>
      <c r="D69" s="9" t="str">
        <f t="shared" si="77"/>
        <v/>
      </c>
      <c r="E69" s="354"/>
      <c r="F69" s="9" t="str">
        <f t="shared" si="54"/>
        <v/>
      </c>
      <c r="G69" s="354"/>
      <c r="H69" s="9" t="str">
        <f t="shared" si="55"/>
        <v/>
      </c>
      <c r="I69" s="354"/>
      <c r="J69" s="9" t="str">
        <f t="shared" si="56"/>
        <v/>
      </c>
      <c r="K69" s="354"/>
      <c r="L69" s="9" t="str">
        <f t="shared" si="57"/>
        <v/>
      </c>
      <c r="M69" s="354"/>
      <c r="N69" s="9" t="str">
        <f t="shared" si="58"/>
        <v/>
      </c>
      <c r="O69" s="354"/>
      <c r="R69" s="357"/>
      <c r="S69" s="69" t="str">
        <f>IF(T69=0,"",VLOOKUP(T69,Starter!$A$1:$D$196,2,FALSE))</f>
        <v/>
      </c>
      <c r="T69" s="177"/>
      <c r="U69" s="185"/>
      <c r="V69" s="96"/>
      <c r="W69" s="185"/>
      <c r="X69" s="96"/>
      <c r="Y69" s="185"/>
      <c r="Z69" s="96"/>
      <c r="AA69" s="185"/>
      <c r="AB69" s="96"/>
      <c r="AC69" s="185"/>
      <c r="AD69" s="96"/>
      <c r="AE69" s="197">
        <f t="shared" si="59"/>
        <v>0</v>
      </c>
      <c r="AF69" s="182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212"/>
      <c r="BB69" s="213"/>
      <c r="BC69" s="214"/>
      <c r="BD69" s="217">
        <f t="shared" si="60"/>
        <v>0</v>
      </c>
      <c r="BE69" s="213">
        <f t="shared" si="61"/>
        <v>0</v>
      </c>
      <c r="BF69" s="215">
        <f t="shared" si="62"/>
        <v>0</v>
      </c>
      <c r="BG69" s="215">
        <f t="shared" si="63"/>
        <v>0</v>
      </c>
      <c r="BH69" s="215" t="str">
        <f t="shared" si="64"/>
        <v/>
      </c>
      <c r="BI69" s="215" t="str">
        <f t="shared" si="65"/>
        <v/>
      </c>
      <c r="BJ69" s="215" t="str">
        <f t="shared" si="66"/>
        <v/>
      </c>
      <c r="BK69" s="215" t="str">
        <f t="shared" si="67"/>
        <v/>
      </c>
      <c r="BL69" s="215" t="str">
        <f t="shared" si="68"/>
        <v/>
      </c>
      <c r="BM69" s="216"/>
      <c r="BN69" s="214"/>
      <c r="BO69" s="215">
        <f t="shared" si="69"/>
        <v>0</v>
      </c>
      <c r="BP69" s="215">
        <f t="shared" si="70"/>
        <v>0</v>
      </c>
      <c r="BQ69" s="215" t="str">
        <f t="shared" si="78"/>
        <v>Kings Club Bayreuth Land 2</v>
      </c>
      <c r="BR69" s="214">
        <f t="shared" si="71"/>
        <v>2</v>
      </c>
      <c r="BS69" s="215">
        <f t="shared" si="72"/>
        <v>0</v>
      </c>
      <c r="BT69" s="215">
        <f>IF(COUNTIF(BH69:BL69,"&gt;0")&lt;Spielorte!$A$23,0,BE69/Spielorte!$A$23)</f>
        <v>0</v>
      </c>
      <c r="BU69" s="215">
        <f t="shared" si="73"/>
        <v>0</v>
      </c>
      <c r="BV69" s="214">
        <f t="shared" si="74"/>
        <v>0</v>
      </c>
    </row>
    <row r="70" spans="1:74" ht="17.100000000000001" customHeight="1" x14ac:dyDescent="0.2">
      <c r="A70" s="373" t="s">
        <v>2</v>
      </c>
      <c r="B70" s="17" t="str">
        <f t="shared" si="75"/>
        <v>Reichert, Roland</v>
      </c>
      <c r="C70" s="18">
        <f t="shared" si="76"/>
        <v>7123</v>
      </c>
      <c r="D70" s="14">
        <f t="shared" si="77"/>
        <v>132</v>
      </c>
      <c r="E70" s="352">
        <f>IF(V70="","",V70)</f>
        <v>0</v>
      </c>
      <c r="F70" s="14">
        <f t="shared" si="54"/>
        <v>164</v>
      </c>
      <c r="G70" s="352">
        <f>IF(X70="","",X70)</f>
        <v>0</v>
      </c>
      <c r="H70" s="14">
        <f t="shared" si="55"/>
        <v>98</v>
      </c>
      <c r="I70" s="352">
        <f>IF(Z70="","",Z70)</f>
        <v>0</v>
      </c>
      <c r="J70" s="14">
        <f t="shared" si="56"/>
        <v>136</v>
      </c>
      <c r="K70" s="352">
        <f>IF(AB70="","",AB70)</f>
        <v>0</v>
      </c>
      <c r="L70" s="14">
        <f t="shared" si="57"/>
        <v>158</v>
      </c>
      <c r="M70" s="352">
        <f>IF(AD70="","",AD70)</f>
        <v>1</v>
      </c>
      <c r="N70" s="14">
        <f t="shared" si="58"/>
        <v>688</v>
      </c>
      <c r="O70" s="352">
        <f>IF(AF70="","",AF70)</f>
        <v>1</v>
      </c>
      <c r="R70" s="355" t="s">
        <v>2</v>
      </c>
      <c r="S70" s="68" t="str">
        <f>IF(T70=0,"",VLOOKUP(T70,Starter!$A$1:$D$196,2,FALSE))</f>
        <v>Reichert, Roland</v>
      </c>
      <c r="T70" s="178">
        <v>7123</v>
      </c>
      <c r="U70" s="186">
        <v>132</v>
      </c>
      <c r="V70" s="95">
        <f>IF(SUM(U70:U72)+U86=0,0,IF(ABS(SUM(U70:U72))=U86,0.5,IF(ABS(SUM(U70:U72))&gt;U86,1,0)))</f>
        <v>0</v>
      </c>
      <c r="W70" s="186">
        <v>164</v>
      </c>
      <c r="X70" s="95">
        <f>IF(SUM(W70:W72)+W86=0,0,IF(ABS(SUM(W70:W72))=W86,0.5,IF(ABS(SUM(W70:W72))&gt;W86,1,0)))</f>
        <v>0</v>
      </c>
      <c r="Y70" s="186">
        <v>98</v>
      </c>
      <c r="Z70" s="95">
        <f>IF(SUM(Y70:Y72)+Y86=0,0,IF(ABS(SUM(Y70:Y72))=Y86,0.5,IF(ABS(SUM(Y70:Y72))&gt;Y86,1,0)))</f>
        <v>0</v>
      </c>
      <c r="AA70" s="186">
        <v>136</v>
      </c>
      <c r="AB70" s="95">
        <f>IF(SUM(AA70:AA72)+AA86=0,0,IF(ABS(SUM(AA70:AA72))=AA86,0.5,IF(ABS(SUM(AA70:AA72))&gt;AA86,1,0)))</f>
        <v>0</v>
      </c>
      <c r="AC70" s="186">
        <v>158</v>
      </c>
      <c r="AD70" s="95">
        <f>IF(SUM(AC70:AC72)+AC86=0,0,IF(ABS(SUM(AC70:AC72))=AC86,0.5,IF(ABS(SUM(AC70:AC72))&gt;AC86,1,0)))</f>
        <v>1</v>
      </c>
      <c r="AE70" s="195">
        <f t="shared" si="59"/>
        <v>688</v>
      </c>
      <c r="AF70" s="180">
        <f>SUM(V70+X70+Z70+AB70+AD70)</f>
        <v>1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212"/>
      <c r="BB70" s="213"/>
      <c r="BC70" s="214"/>
      <c r="BD70" s="217">
        <f t="shared" si="60"/>
        <v>7123</v>
      </c>
      <c r="BE70" s="213">
        <f t="shared" si="61"/>
        <v>688</v>
      </c>
      <c r="BF70" s="215">
        <f t="shared" si="62"/>
        <v>5</v>
      </c>
      <c r="BG70" s="215">
        <f t="shared" si="63"/>
        <v>5</v>
      </c>
      <c r="BH70" s="215">
        <f t="shared" si="64"/>
        <v>132</v>
      </c>
      <c r="BI70" s="215">
        <f t="shared" si="65"/>
        <v>164</v>
      </c>
      <c r="BJ70" s="215">
        <f t="shared" si="66"/>
        <v>98</v>
      </c>
      <c r="BK70" s="215">
        <f t="shared" si="67"/>
        <v>136</v>
      </c>
      <c r="BL70" s="215">
        <f t="shared" si="68"/>
        <v>158</v>
      </c>
      <c r="BM70" s="216"/>
      <c r="BN70" s="214"/>
      <c r="BO70" s="215">
        <f t="shared" si="69"/>
        <v>164</v>
      </c>
      <c r="BP70" s="215">
        <f t="shared" si="70"/>
        <v>0</v>
      </c>
      <c r="BQ70" s="215" t="str">
        <f t="shared" si="78"/>
        <v>Kings Club Bayreuth Land 2</v>
      </c>
      <c r="BR70" s="214">
        <f t="shared" si="71"/>
        <v>2</v>
      </c>
      <c r="BS70" s="215">
        <f t="shared" si="72"/>
        <v>688</v>
      </c>
      <c r="BT70" s="215">
        <f>IF(COUNTIF(BH70:BL70,"&gt;0")&lt;Spielorte!$A$23,0,BE70/Spielorte!$A$23)</f>
        <v>137.6</v>
      </c>
      <c r="BU70" s="215">
        <f t="shared" si="73"/>
        <v>0</v>
      </c>
      <c r="BV70" s="214">
        <f t="shared" si="74"/>
        <v>0</v>
      </c>
    </row>
    <row r="71" spans="1:74" ht="17.100000000000001" customHeight="1" x14ac:dyDescent="0.2">
      <c r="A71" s="374"/>
      <c r="B71" s="19" t="str">
        <f t="shared" si="75"/>
        <v/>
      </c>
      <c r="C71" s="20" t="str">
        <f t="shared" si="76"/>
        <v/>
      </c>
      <c r="D71" s="15" t="str">
        <f t="shared" si="77"/>
        <v/>
      </c>
      <c r="E71" s="353"/>
      <c r="F71" s="15" t="str">
        <f t="shared" si="54"/>
        <v/>
      </c>
      <c r="G71" s="353"/>
      <c r="H71" s="15" t="str">
        <f t="shared" si="55"/>
        <v/>
      </c>
      <c r="I71" s="353"/>
      <c r="J71" s="15" t="str">
        <f t="shared" si="56"/>
        <v/>
      </c>
      <c r="K71" s="353"/>
      <c r="L71" s="15" t="str">
        <f t="shared" si="57"/>
        <v/>
      </c>
      <c r="M71" s="353"/>
      <c r="N71" s="15" t="str">
        <f t="shared" si="58"/>
        <v/>
      </c>
      <c r="O71" s="353"/>
      <c r="R71" s="356"/>
      <c r="S71" s="68" t="str">
        <f>IF(T71=0,"",VLOOKUP(T71,Starter!$A$1:$D$196,2,FALSE))</f>
        <v/>
      </c>
      <c r="T71" s="176"/>
      <c r="U71" s="184"/>
      <c r="V71" s="96"/>
      <c r="W71" s="184"/>
      <c r="X71" s="96"/>
      <c r="Y71" s="184"/>
      <c r="Z71" s="96"/>
      <c r="AA71" s="184"/>
      <c r="AB71" s="96"/>
      <c r="AC71" s="184"/>
      <c r="AD71" s="96"/>
      <c r="AE71" s="196">
        <f t="shared" si="59"/>
        <v>0</v>
      </c>
      <c r="AF71" s="181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212"/>
      <c r="BB71" s="213"/>
      <c r="BC71" s="214"/>
      <c r="BD71" s="217">
        <f t="shared" si="60"/>
        <v>0</v>
      </c>
      <c r="BE71" s="213">
        <f t="shared" si="61"/>
        <v>0</v>
      </c>
      <c r="BF71" s="215">
        <f t="shared" si="62"/>
        <v>0</v>
      </c>
      <c r="BG71" s="215">
        <f t="shared" si="63"/>
        <v>0</v>
      </c>
      <c r="BH71" s="215" t="str">
        <f t="shared" si="64"/>
        <v/>
      </c>
      <c r="BI71" s="215" t="str">
        <f t="shared" si="65"/>
        <v/>
      </c>
      <c r="BJ71" s="215" t="str">
        <f t="shared" si="66"/>
        <v/>
      </c>
      <c r="BK71" s="215" t="str">
        <f t="shared" si="67"/>
        <v/>
      </c>
      <c r="BL71" s="215" t="str">
        <f t="shared" si="68"/>
        <v/>
      </c>
      <c r="BM71" s="216"/>
      <c r="BN71" s="214"/>
      <c r="BO71" s="215">
        <f t="shared" si="69"/>
        <v>0</v>
      </c>
      <c r="BP71" s="215">
        <f t="shared" si="70"/>
        <v>0</v>
      </c>
      <c r="BQ71" s="215" t="str">
        <f t="shared" si="78"/>
        <v>Kings Club Bayreuth Land 2</v>
      </c>
      <c r="BR71" s="214">
        <f t="shared" si="71"/>
        <v>2</v>
      </c>
      <c r="BS71" s="215">
        <f t="shared" si="72"/>
        <v>0</v>
      </c>
      <c r="BT71" s="215">
        <f>IF(COUNTIF(BH71:BL71,"&gt;0")&lt;Spielorte!$A$23,0,BE71/Spielorte!$A$23)</f>
        <v>0</v>
      </c>
      <c r="BU71" s="215">
        <f t="shared" si="73"/>
        <v>0</v>
      </c>
      <c r="BV71" s="214">
        <f t="shared" si="74"/>
        <v>0</v>
      </c>
    </row>
    <row r="72" spans="1:74" ht="17.100000000000001" customHeight="1" thickBot="1" x14ac:dyDescent="0.25">
      <c r="A72" s="375"/>
      <c r="B72" s="21" t="str">
        <f t="shared" si="75"/>
        <v/>
      </c>
      <c r="C72" s="22" t="str">
        <f t="shared" si="76"/>
        <v/>
      </c>
      <c r="D72" s="9" t="str">
        <f t="shared" si="77"/>
        <v/>
      </c>
      <c r="E72" s="354"/>
      <c r="F72" s="9" t="str">
        <f t="shared" si="54"/>
        <v/>
      </c>
      <c r="G72" s="354"/>
      <c r="H72" s="9" t="str">
        <f t="shared" si="55"/>
        <v/>
      </c>
      <c r="I72" s="354"/>
      <c r="J72" s="9" t="str">
        <f t="shared" si="56"/>
        <v/>
      </c>
      <c r="K72" s="354"/>
      <c r="L72" s="9" t="str">
        <f t="shared" si="57"/>
        <v/>
      </c>
      <c r="M72" s="354"/>
      <c r="N72" s="9" t="str">
        <f t="shared" si="58"/>
        <v/>
      </c>
      <c r="O72" s="354"/>
      <c r="R72" s="357"/>
      <c r="S72" s="70" t="str">
        <f>IF(T72=0,"",VLOOKUP(T72,Starter!$A$1:$D$196,2,FALSE))</f>
        <v/>
      </c>
      <c r="T72" s="179"/>
      <c r="U72" s="187"/>
      <c r="V72" s="97"/>
      <c r="W72" s="187"/>
      <c r="X72" s="97"/>
      <c r="Y72" s="187"/>
      <c r="Z72" s="97"/>
      <c r="AA72" s="187"/>
      <c r="AB72" s="97"/>
      <c r="AC72" s="187"/>
      <c r="AD72" s="97"/>
      <c r="AE72" s="197">
        <f t="shared" si="59"/>
        <v>0</v>
      </c>
      <c r="AF72" s="182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212"/>
      <c r="BB72" s="213"/>
      <c r="BC72" s="214"/>
      <c r="BD72" s="217">
        <f t="shared" si="60"/>
        <v>0</v>
      </c>
      <c r="BE72" s="213">
        <f t="shared" si="61"/>
        <v>0</v>
      </c>
      <c r="BF72" s="215">
        <f t="shared" si="62"/>
        <v>0</v>
      </c>
      <c r="BG72" s="215">
        <f t="shared" si="63"/>
        <v>0</v>
      </c>
      <c r="BH72" s="215" t="str">
        <f t="shared" si="64"/>
        <v/>
      </c>
      <c r="BI72" s="215" t="str">
        <f t="shared" si="65"/>
        <v/>
      </c>
      <c r="BJ72" s="215" t="str">
        <f t="shared" si="66"/>
        <v/>
      </c>
      <c r="BK72" s="215" t="str">
        <f t="shared" si="67"/>
        <v/>
      </c>
      <c r="BL72" s="215" t="str">
        <f t="shared" si="68"/>
        <v/>
      </c>
      <c r="BM72" s="216"/>
      <c r="BN72" s="214"/>
      <c r="BO72" s="215">
        <f t="shared" si="69"/>
        <v>0</v>
      </c>
      <c r="BP72" s="215">
        <f t="shared" si="70"/>
        <v>0</v>
      </c>
      <c r="BQ72" s="215" t="str">
        <f t="shared" si="78"/>
        <v>Kings Club Bayreuth Land 2</v>
      </c>
      <c r="BR72" s="214">
        <f t="shared" si="71"/>
        <v>2</v>
      </c>
      <c r="BS72" s="215">
        <f t="shared" si="72"/>
        <v>0</v>
      </c>
      <c r="BT72" s="215">
        <f>IF(COUNTIF(BH72:BL72,"&gt;0")&lt;Spielorte!$A$23,0,BE72/Spielorte!$A$23)</f>
        <v>0</v>
      </c>
      <c r="BU72" s="215">
        <f t="shared" si="73"/>
        <v>0</v>
      </c>
      <c r="BV72" s="214">
        <f t="shared" si="74"/>
        <v>0</v>
      </c>
    </row>
    <row r="73" spans="1:74" ht="17.100000000000001" customHeight="1" x14ac:dyDescent="0.2">
      <c r="A73" s="373" t="s">
        <v>3</v>
      </c>
      <c r="B73" s="17" t="str">
        <f t="shared" si="75"/>
        <v>Theisen, Alexander</v>
      </c>
      <c r="C73" s="18">
        <f t="shared" si="76"/>
        <v>25479</v>
      </c>
      <c r="D73" s="14">
        <f t="shared" si="77"/>
        <v>150</v>
      </c>
      <c r="E73" s="352">
        <f>IF(V73="","",V73)</f>
        <v>0</v>
      </c>
      <c r="F73" s="14">
        <f t="shared" si="54"/>
        <v>183</v>
      </c>
      <c r="G73" s="352">
        <f>IF(X73="","",X73)</f>
        <v>1</v>
      </c>
      <c r="H73" s="14">
        <f t="shared" si="55"/>
        <v>160</v>
      </c>
      <c r="I73" s="352">
        <f>IF(Z73="","",Z73)</f>
        <v>0</v>
      </c>
      <c r="J73" s="14">
        <f t="shared" si="56"/>
        <v>115</v>
      </c>
      <c r="K73" s="352">
        <f>IF(AB73="","",AB73)</f>
        <v>0</v>
      </c>
      <c r="L73" s="14">
        <f t="shared" si="57"/>
        <v>161</v>
      </c>
      <c r="M73" s="352">
        <f>IF(AD73="","",AD73)</f>
        <v>0</v>
      </c>
      <c r="N73" s="14">
        <f t="shared" si="58"/>
        <v>769</v>
      </c>
      <c r="O73" s="352">
        <f>IF(AF73="","",AF73)</f>
        <v>1</v>
      </c>
      <c r="R73" s="355" t="s">
        <v>3</v>
      </c>
      <c r="S73" s="68" t="str">
        <f>IF(T73=0,"",VLOOKUP(T73,Starter!$A$1:$D$196,2,FALSE))</f>
        <v>Theisen, Alexander</v>
      </c>
      <c r="T73" s="178">
        <v>25479</v>
      </c>
      <c r="U73" s="186">
        <v>150</v>
      </c>
      <c r="V73" s="95">
        <f>IF(SUM(U73:U75)+U87=0,0,IF(ABS(SUM(U73:U75))=U87,0.5,IF(ABS(SUM(U73:U75))&gt;U87,1,0)))</f>
        <v>0</v>
      </c>
      <c r="W73" s="186">
        <v>183</v>
      </c>
      <c r="X73" s="95">
        <f>IF(SUM(W73:W75)+W87=0,0,IF(ABS(SUM(W73:W75))=W87,0.5,IF(ABS(SUM(W73:W75))&gt;W87,1,0)))</f>
        <v>1</v>
      </c>
      <c r="Y73" s="186">
        <v>160</v>
      </c>
      <c r="Z73" s="95">
        <f>IF(SUM(Y73:Y75)+Y87=0,0,IF(ABS(SUM(Y73:Y75))=Y87,0.5,IF(ABS(SUM(Y73:Y75))&gt;Y87,1,0)))</f>
        <v>0</v>
      </c>
      <c r="AA73" s="186">
        <v>115</v>
      </c>
      <c r="AB73" s="95">
        <f>IF(SUM(AA73:AA75)+AA87=0,0,IF(ABS(SUM(AA73:AA75))=AA87,0.5,IF(ABS(SUM(AA73:AA75))&gt;AA87,1,0)))</f>
        <v>0</v>
      </c>
      <c r="AC73" s="186">
        <v>161</v>
      </c>
      <c r="AD73" s="95">
        <f>IF(SUM(AC73:AC75)+AC87=0,0,IF(ABS(SUM(AC73:AC75))=AC87,0.5,IF(ABS(SUM(AC73:AC75))&gt;AC87,1,0)))</f>
        <v>0</v>
      </c>
      <c r="AE73" s="195">
        <f t="shared" si="59"/>
        <v>769</v>
      </c>
      <c r="AF73" s="180">
        <f>SUM(V73+X73+Z73+AB73+AD73)</f>
        <v>1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212"/>
      <c r="BB73" s="213"/>
      <c r="BC73" s="214"/>
      <c r="BD73" s="217">
        <f t="shared" si="60"/>
        <v>25479</v>
      </c>
      <c r="BE73" s="213">
        <f t="shared" si="61"/>
        <v>769</v>
      </c>
      <c r="BF73" s="215">
        <f t="shared" si="62"/>
        <v>5</v>
      </c>
      <c r="BG73" s="215">
        <f t="shared" si="63"/>
        <v>5</v>
      </c>
      <c r="BH73" s="215">
        <f t="shared" si="64"/>
        <v>150</v>
      </c>
      <c r="BI73" s="215">
        <f t="shared" si="65"/>
        <v>183</v>
      </c>
      <c r="BJ73" s="215">
        <f t="shared" si="66"/>
        <v>160</v>
      </c>
      <c r="BK73" s="215">
        <f t="shared" si="67"/>
        <v>115</v>
      </c>
      <c r="BL73" s="215">
        <f t="shared" si="68"/>
        <v>161</v>
      </c>
      <c r="BM73" s="216"/>
      <c r="BN73" s="214"/>
      <c r="BO73" s="215">
        <f t="shared" si="69"/>
        <v>183</v>
      </c>
      <c r="BP73" s="215">
        <f t="shared" si="70"/>
        <v>0</v>
      </c>
      <c r="BQ73" s="215" t="str">
        <f t="shared" si="78"/>
        <v>Kings Club Bayreuth Land 2</v>
      </c>
      <c r="BR73" s="214">
        <f t="shared" si="71"/>
        <v>2</v>
      </c>
      <c r="BS73" s="215">
        <f t="shared" si="72"/>
        <v>769</v>
      </c>
      <c r="BT73" s="215">
        <f>IF(COUNTIF(BH73:BL73,"&gt;0")&lt;Spielorte!$A$23,0,BE73/Spielorte!$A$23)</f>
        <v>153.80000000000001</v>
      </c>
      <c r="BU73" s="215">
        <f t="shared" si="73"/>
        <v>0</v>
      </c>
      <c r="BV73" s="214">
        <f t="shared" si="74"/>
        <v>0</v>
      </c>
    </row>
    <row r="74" spans="1:74" ht="17.100000000000001" customHeight="1" x14ac:dyDescent="0.2">
      <c r="A74" s="374"/>
      <c r="B74" s="19" t="str">
        <f t="shared" si="75"/>
        <v/>
      </c>
      <c r="C74" s="20" t="str">
        <f t="shared" si="76"/>
        <v/>
      </c>
      <c r="D74" s="15" t="str">
        <f t="shared" si="77"/>
        <v/>
      </c>
      <c r="E74" s="353"/>
      <c r="F74" s="15" t="str">
        <f t="shared" si="54"/>
        <v/>
      </c>
      <c r="G74" s="353"/>
      <c r="H74" s="15" t="str">
        <f t="shared" si="55"/>
        <v/>
      </c>
      <c r="I74" s="353"/>
      <c r="J74" s="15" t="str">
        <f t="shared" si="56"/>
        <v/>
      </c>
      <c r="K74" s="353"/>
      <c r="L74" s="15" t="str">
        <f t="shared" si="57"/>
        <v/>
      </c>
      <c r="M74" s="353"/>
      <c r="N74" s="15" t="str">
        <f t="shared" si="58"/>
        <v/>
      </c>
      <c r="O74" s="353"/>
      <c r="R74" s="356"/>
      <c r="S74" s="68" t="str">
        <f>IF(T74=0,"",VLOOKUP(T74,Starter!$A$1:$D$196,2,FALSE))</f>
        <v/>
      </c>
      <c r="T74" s="176"/>
      <c r="U74" s="184"/>
      <c r="V74" s="96"/>
      <c r="W74" s="184"/>
      <c r="X74" s="96"/>
      <c r="Y74" s="184"/>
      <c r="Z74" s="96"/>
      <c r="AA74" s="184"/>
      <c r="AB74" s="96"/>
      <c r="AC74" s="184"/>
      <c r="AD74" s="96"/>
      <c r="AE74" s="196">
        <f t="shared" si="59"/>
        <v>0</v>
      </c>
      <c r="AF74" s="181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212"/>
      <c r="BB74" s="213"/>
      <c r="BC74" s="214"/>
      <c r="BD74" s="217">
        <f t="shared" si="60"/>
        <v>0</v>
      </c>
      <c r="BE74" s="213">
        <f t="shared" si="61"/>
        <v>0</v>
      </c>
      <c r="BF74" s="215">
        <f t="shared" si="62"/>
        <v>0</v>
      </c>
      <c r="BG74" s="215">
        <f t="shared" si="63"/>
        <v>0</v>
      </c>
      <c r="BH74" s="215" t="str">
        <f t="shared" si="64"/>
        <v/>
      </c>
      <c r="BI74" s="215" t="str">
        <f t="shared" si="65"/>
        <v/>
      </c>
      <c r="BJ74" s="215" t="str">
        <f t="shared" si="66"/>
        <v/>
      </c>
      <c r="BK74" s="215" t="str">
        <f t="shared" si="67"/>
        <v/>
      </c>
      <c r="BL74" s="215" t="str">
        <f t="shared" si="68"/>
        <v/>
      </c>
      <c r="BM74" s="216"/>
      <c r="BN74" s="214"/>
      <c r="BO74" s="215">
        <f t="shared" si="69"/>
        <v>0</v>
      </c>
      <c r="BP74" s="215">
        <f t="shared" si="70"/>
        <v>0</v>
      </c>
      <c r="BQ74" s="215" t="str">
        <f t="shared" si="78"/>
        <v>Kings Club Bayreuth Land 2</v>
      </c>
      <c r="BR74" s="214">
        <f t="shared" si="71"/>
        <v>2</v>
      </c>
      <c r="BS74" s="215">
        <f t="shared" si="72"/>
        <v>0</v>
      </c>
      <c r="BT74" s="215">
        <f>IF(COUNTIF(BH74:BL74,"&gt;0")&lt;Spielorte!$A$23,0,BE74/Spielorte!$A$23)</f>
        <v>0</v>
      </c>
      <c r="BU74" s="215">
        <f t="shared" si="73"/>
        <v>0</v>
      </c>
      <c r="BV74" s="214">
        <f t="shared" si="74"/>
        <v>0</v>
      </c>
    </row>
    <row r="75" spans="1:74" ht="17.100000000000001" customHeight="1" thickBot="1" x14ac:dyDescent="0.25">
      <c r="A75" s="375"/>
      <c r="B75" s="21" t="str">
        <f t="shared" si="75"/>
        <v/>
      </c>
      <c r="C75" s="22" t="str">
        <f t="shared" si="76"/>
        <v/>
      </c>
      <c r="D75" s="9" t="str">
        <f t="shared" si="77"/>
        <v/>
      </c>
      <c r="E75" s="354"/>
      <c r="F75" s="9" t="str">
        <f t="shared" si="54"/>
        <v/>
      </c>
      <c r="G75" s="354"/>
      <c r="H75" s="9" t="str">
        <f t="shared" si="55"/>
        <v/>
      </c>
      <c r="I75" s="354"/>
      <c r="J75" s="9" t="str">
        <f t="shared" si="56"/>
        <v/>
      </c>
      <c r="K75" s="354"/>
      <c r="L75" s="9" t="str">
        <f t="shared" si="57"/>
        <v/>
      </c>
      <c r="M75" s="354"/>
      <c r="N75" s="9" t="str">
        <f t="shared" si="58"/>
        <v/>
      </c>
      <c r="O75" s="354"/>
      <c r="R75" s="357"/>
      <c r="S75" s="70" t="str">
        <f>IF(T75=0,"",VLOOKUP(T75,Starter!$A$1:$D$196,2,FALSE))</f>
        <v/>
      </c>
      <c r="T75" s="179"/>
      <c r="U75" s="187"/>
      <c r="V75" s="97"/>
      <c r="W75" s="187"/>
      <c r="X75" s="97"/>
      <c r="Y75" s="187"/>
      <c r="Z75" s="97"/>
      <c r="AA75" s="187"/>
      <c r="AB75" s="97"/>
      <c r="AC75" s="187"/>
      <c r="AD75" s="97"/>
      <c r="AE75" s="197">
        <f t="shared" si="59"/>
        <v>0</v>
      </c>
      <c r="AF75" s="182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212"/>
      <c r="BB75" s="213"/>
      <c r="BC75" s="214"/>
      <c r="BD75" s="217">
        <f t="shared" si="60"/>
        <v>0</v>
      </c>
      <c r="BE75" s="213">
        <f t="shared" si="61"/>
        <v>0</v>
      </c>
      <c r="BF75" s="215">
        <f t="shared" si="62"/>
        <v>0</v>
      </c>
      <c r="BG75" s="215">
        <f t="shared" si="63"/>
        <v>0</v>
      </c>
      <c r="BH75" s="215" t="str">
        <f t="shared" si="64"/>
        <v/>
      </c>
      <c r="BI75" s="215" t="str">
        <f t="shared" si="65"/>
        <v/>
      </c>
      <c r="BJ75" s="215" t="str">
        <f t="shared" si="66"/>
        <v/>
      </c>
      <c r="BK75" s="215" t="str">
        <f t="shared" si="67"/>
        <v/>
      </c>
      <c r="BL75" s="215" t="str">
        <f t="shared" si="68"/>
        <v/>
      </c>
      <c r="BM75" s="216"/>
      <c r="BN75" s="214"/>
      <c r="BO75" s="215">
        <f t="shared" si="69"/>
        <v>0</v>
      </c>
      <c r="BP75" s="215">
        <f t="shared" si="70"/>
        <v>0</v>
      </c>
      <c r="BQ75" s="215" t="str">
        <f t="shared" si="78"/>
        <v>Kings Club Bayreuth Land 2</v>
      </c>
      <c r="BR75" s="214">
        <f t="shared" si="71"/>
        <v>2</v>
      </c>
      <c r="BS75" s="215">
        <f t="shared" si="72"/>
        <v>0</v>
      </c>
      <c r="BT75" s="215">
        <f>IF(COUNTIF(BH75:BL75,"&gt;0")&lt;Spielorte!$A$23,0,BE75/Spielorte!$A$23)</f>
        <v>0</v>
      </c>
      <c r="BU75" s="215">
        <f t="shared" si="73"/>
        <v>0</v>
      </c>
      <c r="BV75" s="214">
        <f t="shared" si="74"/>
        <v>0</v>
      </c>
    </row>
    <row r="76" spans="1:74" ht="17.100000000000001" customHeight="1" x14ac:dyDescent="0.2">
      <c r="A76" s="373" t="s">
        <v>11</v>
      </c>
      <c r="B76" s="17" t="str">
        <f>IF(S76=0,"",S76)</f>
        <v>Rühr, Wilfried</v>
      </c>
      <c r="C76" s="18">
        <f t="shared" si="76"/>
        <v>7136</v>
      </c>
      <c r="D76" s="14">
        <f t="shared" si="77"/>
        <v>188</v>
      </c>
      <c r="E76" s="352">
        <f>IF(V76="","",V76)</f>
        <v>0</v>
      </c>
      <c r="F76" s="14">
        <f t="shared" si="54"/>
        <v>191</v>
      </c>
      <c r="G76" s="352">
        <f>IF(X76="","",X76)</f>
        <v>0</v>
      </c>
      <c r="H76" s="14">
        <f t="shared" si="55"/>
        <v>172</v>
      </c>
      <c r="I76" s="352">
        <f>IF(Z76="","",Z76)</f>
        <v>0</v>
      </c>
      <c r="J76" s="14">
        <f t="shared" si="56"/>
        <v>196</v>
      </c>
      <c r="K76" s="352">
        <f>IF(AB76="","",AB76)</f>
        <v>0</v>
      </c>
      <c r="L76" s="14">
        <f t="shared" si="57"/>
        <v>164</v>
      </c>
      <c r="M76" s="352">
        <f>IF(AD76="","",AD76)</f>
        <v>0</v>
      </c>
      <c r="N76" s="14">
        <f t="shared" si="58"/>
        <v>911</v>
      </c>
      <c r="O76" s="352">
        <f>IF(AF76="","",AF76)</f>
        <v>0</v>
      </c>
      <c r="R76" s="355" t="s">
        <v>11</v>
      </c>
      <c r="S76" s="68" t="str">
        <f>IF(T76=0,"",VLOOKUP(T76,Starter!$A$1:$D$196,2,FALSE))</f>
        <v>Rühr, Wilfried</v>
      </c>
      <c r="T76" s="178">
        <v>7136</v>
      </c>
      <c r="U76" s="186">
        <v>188</v>
      </c>
      <c r="V76" s="95">
        <f>IF(SUM(U76:U78)+U88=0,0,IF(ABS(SUM(U76:U78))=U88,0.5,IF(ABS(SUM(U76:U78))&gt;U88,1,0)))</f>
        <v>0</v>
      </c>
      <c r="W76" s="186">
        <v>191</v>
      </c>
      <c r="X76" s="95">
        <f>IF(SUM(W76:W78)+W88=0,0,IF(ABS(SUM(W76:W78))=W88,0.5,IF(ABS(SUM(W76:W78))&gt;W88,1,0)))</f>
        <v>0</v>
      </c>
      <c r="Y76" s="186">
        <v>172</v>
      </c>
      <c r="Z76" s="95">
        <f>IF(SUM(Y76:Y78)+Y88=0,0,IF(ABS(SUM(Y76:Y78))=Y88,0.5,IF(ABS(SUM(Y76:Y78))&gt;Y88,1,0)))</f>
        <v>0</v>
      </c>
      <c r="AA76" s="186">
        <v>196</v>
      </c>
      <c r="AB76" s="95">
        <f>IF(SUM(AA76:AA78)+AA88=0,0,IF(ABS(SUM(AA76:AA78))=AA88,0.5,IF(ABS(SUM(AA76:AA78))&gt;AA88,1,0)))</f>
        <v>0</v>
      </c>
      <c r="AC76" s="186">
        <v>164</v>
      </c>
      <c r="AD76" s="95">
        <f>IF(SUM(AC76:AC78)+AC88=0,0,IF(ABS(SUM(AC76:AC78))=AC88,0.5,IF(ABS(SUM(AC76:AC78))&gt;AC88,1,0)))</f>
        <v>0</v>
      </c>
      <c r="AE76" s="195">
        <f t="shared" si="59"/>
        <v>911</v>
      </c>
      <c r="AF76" s="180">
        <f>SUM(V76+X76+Z76+AB76+AD76)</f>
        <v>0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212"/>
      <c r="BB76" s="213"/>
      <c r="BC76" s="214"/>
      <c r="BD76" s="217">
        <f t="shared" si="60"/>
        <v>7136</v>
      </c>
      <c r="BE76" s="213">
        <f t="shared" si="61"/>
        <v>911</v>
      </c>
      <c r="BF76" s="215">
        <f t="shared" si="62"/>
        <v>5</v>
      </c>
      <c r="BG76" s="215">
        <f t="shared" si="63"/>
        <v>5</v>
      </c>
      <c r="BH76" s="215">
        <f t="shared" si="64"/>
        <v>188</v>
      </c>
      <c r="BI76" s="215">
        <f t="shared" si="65"/>
        <v>191</v>
      </c>
      <c r="BJ76" s="215">
        <f t="shared" si="66"/>
        <v>172</v>
      </c>
      <c r="BK76" s="215">
        <f t="shared" si="67"/>
        <v>196</v>
      </c>
      <c r="BL76" s="215">
        <f t="shared" si="68"/>
        <v>164</v>
      </c>
      <c r="BM76" s="216"/>
      <c r="BN76" s="214"/>
      <c r="BO76" s="215">
        <f t="shared" si="69"/>
        <v>196</v>
      </c>
      <c r="BP76" s="215">
        <f t="shared" si="70"/>
        <v>0</v>
      </c>
      <c r="BQ76" s="215" t="str">
        <f t="shared" si="78"/>
        <v>Kings Club Bayreuth Land 2</v>
      </c>
      <c r="BR76" s="214">
        <f t="shared" si="71"/>
        <v>2</v>
      </c>
      <c r="BS76" s="215">
        <f t="shared" si="72"/>
        <v>911</v>
      </c>
      <c r="BT76" s="215">
        <f>IF(COUNTIF(BH76:BL76,"&gt;0")&lt;Spielorte!$A$23,0,BE76/Spielorte!$A$23)</f>
        <v>182.2</v>
      </c>
      <c r="BU76" s="215">
        <f t="shared" si="73"/>
        <v>0</v>
      </c>
      <c r="BV76" s="214">
        <f t="shared" si="74"/>
        <v>0</v>
      </c>
    </row>
    <row r="77" spans="1:74" ht="17.100000000000001" customHeight="1" x14ac:dyDescent="0.2">
      <c r="A77" s="374"/>
      <c r="B77" s="19" t="str">
        <f>IF(S77=0,"",S77)</f>
        <v/>
      </c>
      <c r="C77" s="20" t="str">
        <f t="shared" si="76"/>
        <v/>
      </c>
      <c r="D77" s="15" t="str">
        <f t="shared" si="77"/>
        <v/>
      </c>
      <c r="E77" s="353"/>
      <c r="F77" s="15" t="str">
        <f t="shared" si="54"/>
        <v/>
      </c>
      <c r="G77" s="353"/>
      <c r="H77" s="15" t="str">
        <f t="shared" si="55"/>
        <v/>
      </c>
      <c r="I77" s="353"/>
      <c r="J77" s="15" t="str">
        <f t="shared" si="56"/>
        <v/>
      </c>
      <c r="K77" s="353"/>
      <c r="L77" s="15" t="str">
        <f t="shared" si="57"/>
        <v/>
      </c>
      <c r="M77" s="353"/>
      <c r="N77" s="15" t="str">
        <f t="shared" si="58"/>
        <v/>
      </c>
      <c r="O77" s="353"/>
      <c r="R77" s="356"/>
      <c r="S77" s="68" t="str">
        <f>IF(T77=0,"",VLOOKUP(T77,Starter!$A$1:$D$196,2,FALSE))</f>
        <v/>
      </c>
      <c r="T77" s="176"/>
      <c r="U77" s="184"/>
      <c r="V77" s="96"/>
      <c r="W77" s="184"/>
      <c r="X77" s="96"/>
      <c r="Y77" s="184"/>
      <c r="Z77" s="96"/>
      <c r="AA77" s="184"/>
      <c r="AB77" s="96"/>
      <c r="AC77" s="184"/>
      <c r="AD77" s="96"/>
      <c r="AE77" s="196">
        <f t="shared" si="59"/>
        <v>0</v>
      </c>
      <c r="AF77" s="181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212"/>
      <c r="BB77" s="213"/>
      <c r="BC77" s="214"/>
      <c r="BD77" s="217">
        <f t="shared" si="60"/>
        <v>0</v>
      </c>
      <c r="BE77" s="213">
        <f t="shared" si="61"/>
        <v>0</v>
      </c>
      <c r="BF77" s="215">
        <f t="shared" si="62"/>
        <v>0</v>
      </c>
      <c r="BG77" s="215">
        <f t="shared" si="63"/>
        <v>0</v>
      </c>
      <c r="BH77" s="215" t="str">
        <f t="shared" si="64"/>
        <v/>
      </c>
      <c r="BI77" s="215" t="str">
        <f t="shared" si="65"/>
        <v/>
      </c>
      <c r="BJ77" s="215" t="str">
        <f t="shared" si="66"/>
        <v/>
      </c>
      <c r="BK77" s="215" t="str">
        <f t="shared" si="67"/>
        <v/>
      </c>
      <c r="BL77" s="215" t="str">
        <f t="shared" si="68"/>
        <v/>
      </c>
      <c r="BM77" s="216"/>
      <c r="BN77" s="214"/>
      <c r="BO77" s="215">
        <f t="shared" si="69"/>
        <v>0</v>
      </c>
      <c r="BP77" s="215">
        <f t="shared" si="70"/>
        <v>0</v>
      </c>
      <c r="BQ77" s="215" t="str">
        <f t="shared" si="78"/>
        <v>Kings Club Bayreuth Land 2</v>
      </c>
      <c r="BR77" s="214">
        <f t="shared" si="71"/>
        <v>2</v>
      </c>
      <c r="BS77" s="215">
        <f t="shared" si="72"/>
        <v>0</v>
      </c>
      <c r="BT77" s="215">
        <f>IF(COUNTIF(BH77:BL77,"&gt;0")&lt;Spielorte!$A$23,0,BE77/Spielorte!$A$23)</f>
        <v>0</v>
      </c>
      <c r="BU77" s="215">
        <f t="shared" si="73"/>
        <v>0</v>
      </c>
      <c r="BV77" s="214">
        <f t="shared" si="74"/>
        <v>0</v>
      </c>
    </row>
    <row r="78" spans="1:74" ht="17.100000000000001" customHeight="1" thickBot="1" x14ac:dyDescent="0.25">
      <c r="A78" s="375"/>
      <c r="B78" s="21" t="str">
        <f>IF(S78=0,"",S78)</f>
        <v/>
      </c>
      <c r="C78" s="22" t="str">
        <f t="shared" si="76"/>
        <v/>
      </c>
      <c r="D78" s="9" t="str">
        <f t="shared" si="77"/>
        <v/>
      </c>
      <c r="E78" s="354"/>
      <c r="F78" s="9" t="str">
        <f t="shared" si="54"/>
        <v/>
      </c>
      <c r="G78" s="354"/>
      <c r="H78" s="9" t="str">
        <f t="shared" si="55"/>
        <v/>
      </c>
      <c r="I78" s="354"/>
      <c r="J78" s="9" t="str">
        <f t="shared" si="56"/>
        <v/>
      </c>
      <c r="K78" s="354"/>
      <c r="L78" s="9" t="str">
        <f t="shared" si="57"/>
        <v/>
      </c>
      <c r="M78" s="354"/>
      <c r="N78" s="9" t="str">
        <f t="shared" si="58"/>
        <v/>
      </c>
      <c r="O78" s="354"/>
      <c r="R78" s="357"/>
      <c r="S78" s="70" t="str">
        <f>IF(T78=0,"",VLOOKUP(T78,Starter!$A$1:$D$196,2,FALSE))</f>
        <v/>
      </c>
      <c r="T78" s="179"/>
      <c r="U78" s="187"/>
      <c r="V78" s="97"/>
      <c r="W78" s="187"/>
      <c r="X78" s="97"/>
      <c r="Y78" s="187"/>
      <c r="Z78" s="97"/>
      <c r="AA78" s="187"/>
      <c r="AB78" s="97"/>
      <c r="AC78" s="187"/>
      <c r="AD78" s="97"/>
      <c r="AE78" s="197">
        <f t="shared" si="59"/>
        <v>0</v>
      </c>
      <c r="AF78" s="182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212"/>
      <c r="BB78" s="213"/>
      <c r="BC78" s="214"/>
      <c r="BD78" s="217">
        <f t="shared" si="60"/>
        <v>0</v>
      </c>
      <c r="BE78" s="213">
        <f t="shared" si="61"/>
        <v>0</v>
      </c>
      <c r="BF78" s="215">
        <f t="shared" si="62"/>
        <v>0</v>
      </c>
      <c r="BG78" s="215">
        <f t="shared" si="63"/>
        <v>0</v>
      </c>
      <c r="BH78" s="215" t="str">
        <f t="shared" si="64"/>
        <v/>
      </c>
      <c r="BI78" s="215" t="str">
        <f t="shared" si="65"/>
        <v/>
      </c>
      <c r="BJ78" s="215" t="str">
        <f t="shared" si="66"/>
        <v/>
      </c>
      <c r="BK78" s="215" t="str">
        <f t="shared" si="67"/>
        <v/>
      </c>
      <c r="BL78" s="215" t="str">
        <f t="shared" si="68"/>
        <v/>
      </c>
      <c r="BM78" s="216"/>
      <c r="BN78" s="214"/>
      <c r="BO78" s="215">
        <f t="shared" si="69"/>
        <v>0</v>
      </c>
      <c r="BP78" s="215">
        <f t="shared" si="70"/>
        <v>0</v>
      </c>
      <c r="BQ78" s="215" t="str">
        <f t="shared" si="78"/>
        <v>Kings Club Bayreuth Land 2</v>
      </c>
      <c r="BR78" s="214">
        <f t="shared" si="71"/>
        <v>2</v>
      </c>
      <c r="BS78" s="215">
        <f t="shared" si="72"/>
        <v>0</v>
      </c>
      <c r="BT78" s="215">
        <f>IF(COUNTIF(BH78:BL78,"&gt;0")&lt;Spielorte!$A$23,0,BE78/Spielorte!$A$23)</f>
        <v>0</v>
      </c>
      <c r="BU78" s="215">
        <f t="shared" si="73"/>
        <v>0</v>
      </c>
      <c r="BV78" s="214">
        <f t="shared" si="74"/>
        <v>0</v>
      </c>
    </row>
    <row r="79" spans="1:74" ht="27.75" customHeight="1" thickBot="1" x14ac:dyDescent="0.25">
      <c r="B79" s="11" t="str">
        <f>IF(S79=0,"",S79)</f>
        <v>Gesamt</v>
      </c>
      <c r="C79" s="26" t="str">
        <f t="shared" si="76"/>
        <v/>
      </c>
      <c r="D79" s="16">
        <f t="shared" si="77"/>
        <v>652</v>
      </c>
      <c r="E79" s="12">
        <f>IF(V79="","",V79)</f>
        <v>0</v>
      </c>
      <c r="F79" s="16">
        <f t="shared" si="54"/>
        <v>740</v>
      </c>
      <c r="G79" s="12">
        <f>IF(X79="","",X79)</f>
        <v>2</v>
      </c>
      <c r="H79" s="16">
        <f t="shared" si="55"/>
        <v>633</v>
      </c>
      <c r="I79" s="12">
        <f>IF(Z79="","",Z79)</f>
        <v>0</v>
      </c>
      <c r="J79" s="16">
        <f t="shared" si="56"/>
        <v>591</v>
      </c>
      <c r="K79" s="12">
        <f>IF(AB79="","",AB79)</f>
        <v>0</v>
      </c>
      <c r="L79" s="16">
        <f t="shared" si="57"/>
        <v>632</v>
      </c>
      <c r="M79" s="12">
        <f>IF(AD79="","",AD79)</f>
        <v>0</v>
      </c>
      <c r="N79" s="16">
        <f t="shared" si="58"/>
        <v>3248</v>
      </c>
      <c r="O79" s="12">
        <f>IF(AF79="","",AF79)</f>
        <v>2</v>
      </c>
      <c r="S79" s="11" t="s">
        <v>1791</v>
      </c>
      <c r="T79" s="71"/>
      <c r="U79" s="188">
        <f>ABS(SUM(U67:U69))+ABS(SUM(U70:U72))+ABS(SUM(U73:U75))+ABS(SUM(U76:U78))</f>
        <v>652</v>
      </c>
      <c r="V79" s="98">
        <f>IF(U79+U89=0,0,IF(U79=U89,1,IF(U79&gt;U89,2,0)))</f>
        <v>0</v>
      </c>
      <c r="W79" s="188">
        <f>ABS(SUM(W67:W69))+ABS(SUM(W70:W72))+ABS(SUM(W73:W75))+ABS(SUM(W76:W78))</f>
        <v>740</v>
      </c>
      <c r="X79" s="98">
        <f>IF(W79+W89=0,0,IF(W79=W89,1,IF(W79&gt;W89,2,0)))</f>
        <v>2</v>
      </c>
      <c r="Y79" s="188">
        <f>ABS(SUM(Y67:Y69))+ABS(SUM(Y70:Y72))+ABS(SUM(Y73:Y75))+ABS(SUM(Y76:Y78))</f>
        <v>633</v>
      </c>
      <c r="Z79" s="98">
        <f>IF(Y79+Y89=0,0,IF(Y79=Y89,1,IF(Y79&gt;Y89,2,0)))</f>
        <v>0</v>
      </c>
      <c r="AA79" s="188">
        <f>ABS(SUM(AA67:AA69))+ABS(SUM(AA70:AA72))+ABS(SUM(AA73:AA75))+ABS(SUM(AA76:AA78))</f>
        <v>591</v>
      </c>
      <c r="AB79" s="98">
        <f>IF(AA79+AA89=0,0,IF(AA79=AA89,1,IF(AA79&gt;AA89,2,0)))</f>
        <v>0</v>
      </c>
      <c r="AC79" s="188">
        <f>ABS(SUM(AC67:AC69))+ABS(SUM(AC70:AC72))+ABS(SUM(AC73:AC75))+ABS(SUM(AC76:AC78))</f>
        <v>632</v>
      </c>
      <c r="AD79" s="98">
        <f>IF(AC79+AC89=0,0,IF(AC79=AC89,1,IF(AC79&gt;AC89,2,0)))</f>
        <v>0</v>
      </c>
      <c r="AE79" s="198">
        <f>SUM(U79+W79+Y79+AA79+AC79)</f>
        <v>3248</v>
      </c>
      <c r="AF79" s="12">
        <f>SUM(V79+X79+Z79+AB79+AD79)</f>
        <v>2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212"/>
      <c r="BB79" s="213"/>
      <c r="BC79" s="214"/>
      <c r="BM79" s="216"/>
      <c r="BN79" s="214"/>
      <c r="BR79" s="214"/>
      <c r="BV79" s="214"/>
    </row>
    <row r="80" spans="1:74" ht="24" customHeight="1" thickBot="1" x14ac:dyDescent="0.25">
      <c r="B80" s="8" t="str">
        <f>IF(S80=0,"",S80)</f>
        <v>Gesamt - Punkte</v>
      </c>
      <c r="C80" s="1" t="str">
        <f t="shared" si="76"/>
        <v/>
      </c>
      <c r="D80" s="1" t="str">
        <f t="shared" si="77"/>
        <v/>
      </c>
      <c r="E80" s="23">
        <f>IF(V80="","",V80)</f>
        <v>1</v>
      </c>
      <c r="F80" s="1" t="str">
        <f t="shared" si="54"/>
        <v/>
      </c>
      <c r="G80" s="23">
        <f>IF(X80="","",X80)</f>
        <v>4</v>
      </c>
      <c r="H80" s="1" t="str">
        <f t="shared" si="55"/>
        <v/>
      </c>
      <c r="I80" s="23">
        <f>IF(Z80="","",Z80)</f>
        <v>1</v>
      </c>
      <c r="J80" s="1" t="str">
        <f t="shared" si="56"/>
        <v/>
      </c>
      <c r="K80" s="23">
        <f>IF(AB80="","",AB80)</f>
        <v>0</v>
      </c>
      <c r="L80" s="1" t="str">
        <f t="shared" si="57"/>
        <v/>
      </c>
      <c r="M80" s="23">
        <f>IF(AD80="","",AD80)</f>
        <v>2</v>
      </c>
      <c r="N80" s="1" t="str">
        <f t="shared" si="58"/>
        <v/>
      </c>
      <c r="O80" s="23">
        <f>IF(AF80="","",AF80)</f>
        <v>8</v>
      </c>
      <c r="S80" s="8" t="s">
        <v>1802</v>
      </c>
      <c r="T80" s="1"/>
      <c r="U80" s="1"/>
      <c r="V80" s="72">
        <f>SUM(V67:V79)</f>
        <v>1</v>
      </c>
      <c r="W80" s="1"/>
      <c r="X80" s="72">
        <f>SUM(X67:X79)</f>
        <v>4</v>
      </c>
      <c r="Y80" s="1"/>
      <c r="Z80" s="72">
        <f>SUM(Z67:Z79)</f>
        <v>1</v>
      </c>
      <c r="AA80" s="1"/>
      <c r="AB80" s="72">
        <f>SUM(AB67:AB79)</f>
        <v>0</v>
      </c>
      <c r="AC80" s="1"/>
      <c r="AD80" s="72">
        <f>SUM(AD67:AD79)</f>
        <v>2</v>
      </c>
      <c r="AE80" s="1"/>
      <c r="AF80" s="72">
        <f>SUM(AF67:AF79)</f>
        <v>8</v>
      </c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212">
        <f>AF80</f>
        <v>8</v>
      </c>
      <c r="BB80" s="213">
        <f>AE79</f>
        <v>3248</v>
      </c>
      <c r="BC80" s="214">
        <f>+S62</f>
        <v>3</v>
      </c>
      <c r="BF80" s="215">
        <f>SUM(BF61:BF79)</f>
        <v>20</v>
      </c>
      <c r="BM80" s="212">
        <f>+BB80/1000000+BA80</f>
        <v>8.0032479999999993</v>
      </c>
      <c r="BN80" s="214">
        <f>RANK(BM80,BM:BM)</f>
        <v>5</v>
      </c>
      <c r="BR80" s="214"/>
      <c r="BV80" s="214"/>
    </row>
    <row r="81" spans="1:74" ht="11.25" customHeight="1" x14ac:dyDescent="0.2">
      <c r="B81" s="1"/>
      <c r="C81" s="1"/>
      <c r="D81" s="1"/>
      <c r="E81" s="2"/>
      <c r="F81" s="1"/>
      <c r="G81" s="2"/>
      <c r="H81" s="1"/>
      <c r="I81" s="2"/>
      <c r="J81" s="1"/>
      <c r="K81" s="2"/>
      <c r="L81" s="1"/>
      <c r="M81" s="2"/>
      <c r="N81" s="1"/>
      <c r="O81" s="2"/>
      <c r="S81" s="1"/>
      <c r="T81" s="1"/>
      <c r="U81" s="1"/>
      <c r="V81" s="2"/>
      <c r="W81" s="1"/>
      <c r="X81" s="2"/>
      <c r="Y81" s="1"/>
      <c r="Z81" s="2"/>
      <c r="AA81" s="1"/>
      <c r="AB81" s="2"/>
      <c r="AC81" s="1"/>
      <c r="AD81" s="2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12"/>
      <c r="BB81" s="213"/>
      <c r="BC81" s="214"/>
      <c r="BM81" s="216"/>
      <c r="BN81" s="214"/>
      <c r="BR81" s="214"/>
      <c r="BV81" s="214"/>
    </row>
    <row r="82" spans="1:74" ht="12.75" customHeight="1" x14ac:dyDescent="0.2">
      <c r="B82" s="13" t="str">
        <f t="shared" ref="B82:B89" si="79">IF(S82=0,"",S82)</f>
        <v>Gegner-Nr.:</v>
      </c>
      <c r="C82" s="5" t="str">
        <f t="shared" ref="C82:C89" si="80">IF(T82=0,"",T82)</f>
        <v>&gt;&gt;&gt;&gt;</v>
      </c>
      <c r="D82" s="350">
        <f t="shared" ref="D82:M84" si="81">IF(U82=0,"",U82)</f>
        <v>4</v>
      </c>
      <c r="E82" s="350" t="str">
        <f t="shared" si="81"/>
        <v/>
      </c>
      <c r="F82" s="350">
        <f t="shared" si="81"/>
        <v>2</v>
      </c>
      <c r="G82" s="350" t="str">
        <f t="shared" si="81"/>
        <v/>
      </c>
      <c r="H82" s="350">
        <f t="shared" si="81"/>
        <v>1</v>
      </c>
      <c r="I82" s="350" t="str">
        <f t="shared" si="81"/>
        <v/>
      </c>
      <c r="J82" s="350">
        <f t="shared" si="81"/>
        <v>5</v>
      </c>
      <c r="K82" s="350" t="str">
        <f t="shared" si="81"/>
        <v/>
      </c>
      <c r="L82" s="350">
        <f t="shared" si="81"/>
        <v>6</v>
      </c>
      <c r="M82" s="350" t="str">
        <f t="shared" si="81"/>
        <v/>
      </c>
      <c r="N82" s="351"/>
      <c r="O82" s="351"/>
      <c r="S82" s="13" t="s">
        <v>1789</v>
      </c>
      <c r="T82" s="5" t="s">
        <v>1790</v>
      </c>
      <c r="U82" s="369">
        <f>VLOOKUP($S62,Schlüssel!$A$5:$K$10,3)</f>
        <v>4</v>
      </c>
      <c r="V82" s="370"/>
      <c r="W82" s="369">
        <f>VLOOKUP($S62,Schlüssel!$A$5:$K$10,4)</f>
        <v>2</v>
      </c>
      <c r="X82" s="370"/>
      <c r="Y82" s="369">
        <f>VLOOKUP($S62,Schlüssel!$A$5:$K$10,5)</f>
        <v>1</v>
      </c>
      <c r="Z82" s="370"/>
      <c r="AA82" s="369">
        <f>VLOOKUP($S62,Schlüssel!$A$5:$K$10,6)</f>
        <v>5</v>
      </c>
      <c r="AB82" s="370"/>
      <c r="AC82" s="369">
        <f>VLOOKUP($S62,Schlüssel!$A$5:$K$10,7)</f>
        <v>6</v>
      </c>
      <c r="AD82" s="370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212"/>
      <c r="BB82" s="213"/>
      <c r="BC82" s="214"/>
      <c r="BM82" s="216"/>
      <c r="BN82" s="214"/>
      <c r="BR82" s="214"/>
      <c r="BV82" s="214"/>
    </row>
    <row r="83" spans="1:74" ht="28.5" customHeight="1" x14ac:dyDescent="0.2">
      <c r="B83" s="4" t="str">
        <f t="shared" si="79"/>
        <v/>
      </c>
      <c r="C83" s="1" t="str">
        <f t="shared" si="80"/>
        <v/>
      </c>
      <c r="D83" s="347" t="str">
        <f t="shared" si="81"/>
        <v>Kings Club Bayreuth Land 3</v>
      </c>
      <c r="E83" s="348" t="str">
        <f t="shared" si="81"/>
        <v/>
      </c>
      <c r="F83" s="347" t="str">
        <f t="shared" si="81"/>
        <v>Herzogenaurach 1</v>
      </c>
      <c r="G83" s="348" t="str">
        <f t="shared" si="81"/>
        <v/>
      </c>
      <c r="H83" s="347" t="str">
        <f t="shared" si="81"/>
        <v>Castra Regina Regensburg 3</v>
      </c>
      <c r="I83" s="348" t="str">
        <f t="shared" si="81"/>
        <v/>
      </c>
      <c r="J83" s="347" t="str">
        <f t="shared" si="81"/>
        <v>Castra Regina Regensburg 2</v>
      </c>
      <c r="K83" s="348" t="str">
        <f t="shared" si="81"/>
        <v/>
      </c>
      <c r="L83" s="347" t="str">
        <f t="shared" si="81"/>
        <v>Adler Nürnberg 1</v>
      </c>
      <c r="M83" s="348" t="str">
        <f t="shared" si="81"/>
        <v/>
      </c>
      <c r="N83" s="349"/>
      <c r="O83" s="349"/>
      <c r="S83" s="4"/>
      <c r="T83" s="1"/>
      <c r="U83" s="347" t="str">
        <f>VLOOKUP(U82,Schlüssel!$A$5:$K$10,2)</f>
        <v>Kings Club Bayreuth Land 3</v>
      </c>
      <c r="V83" s="348"/>
      <c r="W83" s="347" t="str">
        <f>VLOOKUP(W82,Schlüssel!$A$5:$K$10,2)</f>
        <v>Herzogenaurach 1</v>
      </c>
      <c r="X83" s="348"/>
      <c r="Y83" s="347" t="str">
        <f>VLOOKUP(Y82,Schlüssel!$A$5:$K$10,2)</f>
        <v>Castra Regina Regensburg 3</v>
      </c>
      <c r="Z83" s="348"/>
      <c r="AA83" s="347" t="str">
        <f>VLOOKUP(AA82,Schlüssel!$A$5:$K$10,2)</f>
        <v>Castra Regina Regensburg 2</v>
      </c>
      <c r="AB83" s="348"/>
      <c r="AC83" s="347" t="str">
        <f>VLOOKUP(AC82,Schlüssel!$A$5:$K$10,2)</f>
        <v>Adler Nürnberg 1</v>
      </c>
      <c r="AD83" s="348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212"/>
      <c r="BB83" s="213"/>
      <c r="BC83" s="214"/>
      <c r="BM83" s="216"/>
      <c r="BN83" s="214"/>
      <c r="BR83" s="214"/>
      <c r="BV83" s="214"/>
    </row>
    <row r="84" spans="1:74" ht="12" customHeight="1" x14ac:dyDescent="0.2">
      <c r="B84" s="4" t="str">
        <f t="shared" si="79"/>
        <v/>
      </c>
      <c r="C84" s="1" t="str">
        <f t="shared" si="80"/>
        <v/>
      </c>
      <c r="D84" s="346" t="str">
        <f t="shared" si="81"/>
        <v/>
      </c>
      <c r="E84" s="346" t="str">
        <f t="shared" si="81"/>
        <v/>
      </c>
      <c r="F84" s="346" t="str">
        <f t="shared" si="81"/>
        <v/>
      </c>
      <c r="G84" s="346" t="str">
        <f t="shared" si="81"/>
        <v/>
      </c>
      <c r="H84" s="346" t="str">
        <f t="shared" si="81"/>
        <v/>
      </c>
      <c r="I84" s="346" t="str">
        <f t="shared" si="81"/>
        <v/>
      </c>
      <c r="J84" s="346" t="str">
        <f t="shared" si="81"/>
        <v/>
      </c>
      <c r="K84" s="346" t="str">
        <f t="shared" si="81"/>
        <v/>
      </c>
      <c r="L84" s="346" t="str">
        <f t="shared" si="81"/>
        <v/>
      </c>
      <c r="M84" s="346" t="str">
        <f t="shared" si="81"/>
        <v/>
      </c>
      <c r="N84" s="310"/>
      <c r="O84" s="310"/>
      <c r="S84" s="4"/>
      <c r="T84" s="1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212"/>
      <c r="BB84" s="213"/>
      <c r="BC84" s="214"/>
      <c r="BM84" s="216"/>
      <c r="BN84" s="214"/>
      <c r="BR84" s="214"/>
      <c r="BV84" s="214"/>
    </row>
    <row r="85" spans="1:74" ht="15.95" customHeight="1" x14ac:dyDescent="0.2">
      <c r="B85" s="371" t="str">
        <f t="shared" si="79"/>
        <v>Spieler 1</v>
      </c>
      <c r="C85" s="372" t="str">
        <f t="shared" si="80"/>
        <v/>
      </c>
      <c r="D85" s="344">
        <f>IF(U85=301,"",U85)</f>
        <v>135</v>
      </c>
      <c r="E85" s="344" t="str">
        <f>IF(V85=0,"",V85)</f>
        <v/>
      </c>
      <c r="F85" s="344">
        <f>IF(W85=301,"",W85)</f>
        <v>160</v>
      </c>
      <c r="G85" s="344" t="str">
        <f>IF(X85=0,"",X85)</f>
        <v/>
      </c>
      <c r="H85" s="344">
        <f>IF(Y85=301,"",Y85)</f>
        <v>193</v>
      </c>
      <c r="I85" s="344" t="str">
        <f>IF(Z85=0,"",Z85)</f>
        <v/>
      </c>
      <c r="J85" s="344">
        <f>IF(AA85=301,"",AA85)</f>
        <v>213</v>
      </c>
      <c r="K85" s="344" t="str">
        <f>IF(AB85=0,"",AB85)</f>
        <v/>
      </c>
      <c r="L85" s="344">
        <f>IF(AC85=301,"",AC85)</f>
        <v>127</v>
      </c>
      <c r="M85" s="344" t="str">
        <f>IF(AD85=0,"",AD85)</f>
        <v/>
      </c>
      <c r="N85" s="345"/>
      <c r="O85" s="345"/>
      <c r="S85" s="35" t="s">
        <v>0</v>
      </c>
      <c r="T85" s="36"/>
      <c r="U85" s="367">
        <f>ABS(INDEX(U:U,MATCH(U82,$S:$S,0)+5)+INDEX(U:U,MATCH(U82,$S:$S,0)+6)+INDEX(U:U,MATCH(U82,$S:$S,0)+7))</f>
        <v>135</v>
      </c>
      <c r="V85" s="368"/>
      <c r="W85" s="367">
        <f>ABS(INDEX(W:W,MATCH(W82,$S:$S,0)+5)+INDEX(W:W,MATCH(W82,$S:$S,0)+6)+INDEX(W:W,MATCH(W82,$S:$S,0)+7))</f>
        <v>160</v>
      </c>
      <c r="X85" s="368"/>
      <c r="Y85" s="367">
        <f>ABS(INDEX(Y:Y,MATCH(Y82,$S:$S,0)+5)+INDEX(Y:Y,MATCH(Y82,$S:$S,0)+6)+INDEX(Y:Y,MATCH(Y82,$S:$S,0)+7))</f>
        <v>193</v>
      </c>
      <c r="Z85" s="368"/>
      <c r="AA85" s="367">
        <f>ABS(INDEX(AA:AA,MATCH(AA82,$S:$S,0)+5)+INDEX(AA:AA,MATCH(AA82,$S:$S,0)+6)+INDEX(AA:AA,MATCH(AA82,$S:$S,0)+7))</f>
        <v>213</v>
      </c>
      <c r="AB85" s="368"/>
      <c r="AC85" s="367">
        <f>ABS(INDEX(AC:AC,MATCH(AC82,$S:$S,0)+5)+INDEX(AC:AC,MATCH(AC82,$S:$S,0)+6)+INDEX(AC:AC,MATCH(AC82,$S:$S,0)+7))</f>
        <v>127</v>
      </c>
      <c r="AD85" s="368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12"/>
      <c r="BB85" s="213"/>
      <c r="BC85" s="214"/>
      <c r="BM85" s="216"/>
      <c r="BN85" s="214"/>
      <c r="BR85" s="214"/>
      <c r="BV85" s="214"/>
    </row>
    <row r="86" spans="1:74" ht="15.95" customHeight="1" x14ac:dyDescent="0.2">
      <c r="B86" s="371" t="str">
        <f t="shared" si="79"/>
        <v>Spieler 2</v>
      </c>
      <c r="C86" s="372" t="str">
        <f t="shared" si="80"/>
        <v/>
      </c>
      <c r="D86" s="344">
        <f>IF(U86=301,"",U86)</f>
        <v>171</v>
      </c>
      <c r="E86" s="344" t="str">
        <f>IF(V86=0,"",V86)</f>
        <v/>
      </c>
      <c r="F86" s="344">
        <f>IF(W86=301,"",W86)</f>
        <v>170</v>
      </c>
      <c r="G86" s="344" t="str">
        <f>IF(X86=0,"",X86)</f>
        <v/>
      </c>
      <c r="H86" s="344">
        <f>IF(Y86=301,"",Y86)</f>
        <v>206</v>
      </c>
      <c r="I86" s="344" t="str">
        <f>IF(Z86=0,"",Z86)</f>
        <v/>
      </c>
      <c r="J86" s="344">
        <f>IF(AA86=301,"",AA86)</f>
        <v>183</v>
      </c>
      <c r="K86" s="344" t="str">
        <f>IF(AB86=0,"",AB86)</f>
        <v/>
      </c>
      <c r="L86" s="344">
        <f>IF(AC86=301,"",AC86)</f>
        <v>150</v>
      </c>
      <c r="M86" s="344" t="str">
        <f>IF(AD86=0,"",AD86)</f>
        <v/>
      </c>
      <c r="N86" s="345"/>
      <c r="O86" s="345"/>
      <c r="S86" s="35" t="s">
        <v>2</v>
      </c>
      <c r="T86" s="36"/>
      <c r="U86" s="365">
        <f>ABS(INDEX(U:U,MATCH(U82,$S:$S,0)+8)+INDEX(U:U,MATCH(U82,$S:$S,0)+9)+INDEX(U:U,MATCH(U82,$S:$S,0)+10))</f>
        <v>171</v>
      </c>
      <c r="V86" s="366"/>
      <c r="W86" s="365">
        <f>ABS(INDEX(W:W,MATCH(W82,$S:$S,0)+8)+INDEX(W:W,MATCH(W82,$S:$S,0)+9)+INDEX(W:W,MATCH(W82,$S:$S,0)+10))</f>
        <v>170</v>
      </c>
      <c r="X86" s="366"/>
      <c r="Y86" s="365">
        <f>ABS(INDEX(Y:Y,MATCH(Y82,$S:$S,0)+8)+INDEX(Y:Y,MATCH(Y82,$S:$S,0)+9)+INDEX(Y:Y,MATCH(Y82,$S:$S,0)+10))</f>
        <v>206</v>
      </c>
      <c r="Z86" s="366"/>
      <c r="AA86" s="365">
        <f>ABS(INDEX(AA:AA,MATCH(AA82,$S:$S,0)+8)+INDEX(AA:AA,MATCH(AA82,$S:$S,0)+9)+INDEX(AA:AA,MATCH(AA82,$S:$S,0)+10))</f>
        <v>183</v>
      </c>
      <c r="AB86" s="366"/>
      <c r="AC86" s="365">
        <f>ABS(INDEX(AC:AC,MATCH(AC82,$S:$S,0)+8)+INDEX(AC:AC,MATCH(AC82,$S:$S,0)+9)+INDEX(AC:AC,MATCH(AC82,$S:$S,0)+10))</f>
        <v>150</v>
      </c>
      <c r="AD86" s="36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12"/>
      <c r="BB86" s="213"/>
      <c r="BC86" s="214"/>
      <c r="BM86" s="216"/>
      <c r="BN86" s="214"/>
      <c r="BR86" s="214"/>
      <c r="BV86" s="214"/>
    </row>
    <row r="87" spans="1:74" ht="15.95" customHeight="1" x14ac:dyDescent="0.2">
      <c r="B87" s="371" t="str">
        <f t="shared" si="79"/>
        <v>Spieler 3</v>
      </c>
      <c r="C87" s="372" t="str">
        <f t="shared" si="80"/>
        <v/>
      </c>
      <c r="D87" s="344">
        <f>IF(U87=301,"",U87)</f>
        <v>179</v>
      </c>
      <c r="E87" s="344" t="str">
        <f>IF(V87=0,"",V87)</f>
        <v/>
      </c>
      <c r="F87" s="344">
        <f>IF(W87=301,"",W87)</f>
        <v>150</v>
      </c>
      <c r="G87" s="344" t="str">
        <f>IF(X87=0,"",X87)</f>
        <v/>
      </c>
      <c r="H87" s="344">
        <f>IF(Y87=301,"",Y87)</f>
        <v>195</v>
      </c>
      <c r="I87" s="344" t="str">
        <f>IF(Z87=0,"",Z87)</f>
        <v/>
      </c>
      <c r="J87" s="344">
        <f>IF(AA87=301,"",AA87)</f>
        <v>144</v>
      </c>
      <c r="K87" s="344" t="str">
        <f>IF(AB87=0,"",AB87)</f>
        <v/>
      </c>
      <c r="L87" s="344">
        <f>IF(AC87=301,"",AC87)</f>
        <v>192</v>
      </c>
      <c r="M87" s="344" t="str">
        <f>IF(AD87=0,"",AD87)</f>
        <v/>
      </c>
      <c r="N87" s="345"/>
      <c r="O87" s="345"/>
      <c r="S87" s="35" t="s">
        <v>3</v>
      </c>
      <c r="T87" s="36"/>
      <c r="U87" s="365">
        <f>ABS(INDEX(U:U,MATCH(U82,$S:$S,0)+11)+INDEX(U:U,MATCH(U82,$S:$S,0)+12)+INDEX(U:U,MATCH(U82,$S:$S,0)+13))</f>
        <v>179</v>
      </c>
      <c r="V87" s="366"/>
      <c r="W87" s="365">
        <f>ABS(INDEX(W:W,MATCH(W82,$S:$S,0)+11)+INDEX(W:W,MATCH(W82,$S:$S,0)+12)+INDEX(W:W,MATCH(W82,$S:$S,0)+13))</f>
        <v>150</v>
      </c>
      <c r="X87" s="366"/>
      <c r="Y87" s="365">
        <f>ABS(INDEX(Y:Y,MATCH(Y82,$S:$S,0)+11)+INDEX(Y:Y,MATCH(Y82,$S:$S,0)+12)+INDEX(Y:Y,MATCH(Y82,$S:$S,0)+13))</f>
        <v>195</v>
      </c>
      <c r="Z87" s="366"/>
      <c r="AA87" s="365">
        <f>ABS(INDEX(AA:AA,MATCH(AA82,$S:$S,0)+11)+INDEX(AA:AA,MATCH(AA82,$S:$S,0)+12)+INDEX(AA:AA,MATCH(AA82,$S:$S,0)+13))</f>
        <v>144</v>
      </c>
      <c r="AB87" s="366"/>
      <c r="AC87" s="365">
        <f>ABS(INDEX(AC:AC,MATCH(AC82,$S:$S,0)+11)+INDEX(AC:AC,MATCH(AC82,$S:$S,0)+12)+INDEX(AC:AC,MATCH(AC82,$S:$S,0)+13))</f>
        <v>192</v>
      </c>
      <c r="AD87" s="36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12"/>
      <c r="BB87" s="213"/>
      <c r="BC87" s="214"/>
      <c r="BM87" s="216"/>
      <c r="BN87" s="214"/>
      <c r="BR87" s="214"/>
      <c r="BV87" s="214"/>
    </row>
    <row r="88" spans="1:74" ht="15.95" customHeight="1" x14ac:dyDescent="0.2">
      <c r="B88" s="371" t="str">
        <f t="shared" si="79"/>
        <v>Spieler 4</v>
      </c>
      <c r="C88" s="372" t="str">
        <f t="shared" si="80"/>
        <v/>
      </c>
      <c r="D88" s="344">
        <f>IF(U88=301,"",U88)</f>
        <v>191</v>
      </c>
      <c r="E88" s="344" t="str">
        <f>IF(V88=0,"",V88)</f>
        <v/>
      </c>
      <c r="F88" s="344">
        <f>IF(W88=301,"",W88)</f>
        <v>206</v>
      </c>
      <c r="G88" s="344" t="str">
        <f>IF(X88=0,"",X88)</f>
        <v/>
      </c>
      <c r="H88" s="344">
        <f>IF(Y88=301,"",Y88)</f>
        <v>174</v>
      </c>
      <c r="I88" s="344" t="str">
        <f>IF(Z88=0,"",Z88)</f>
        <v/>
      </c>
      <c r="J88" s="344">
        <f>IF(AA88=301,"",AA88)</f>
        <v>210</v>
      </c>
      <c r="K88" s="344" t="str">
        <f>IF(AB88=0,"",AB88)</f>
        <v/>
      </c>
      <c r="L88" s="344">
        <f>IF(AC88=301,"",AC88)</f>
        <v>190</v>
      </c>
      <c r="M88" s="344" t="str">
        <f>IF(AD88=0,"",AD88)</f>
        <v/>
      </c>
      <c r="N88" s="345"/>
      <c r="O88" s="345"/>
      <c r="S88" s="35" t="s">
        <v>11</v>
      </c>
      <c r="T88" s="36"/>
      <c r="U88" s="365">
        <f>ABS(INDEX(U:U,MATCH(U82,$S:$S,0)+14)+INDEX(U:U,MATCH(U82,$S:$S,0)+15)+INDEX(U:U,MATCH(U82,$S:$S,0)+16))</f>
        <v>191</v>
      </c>
      <c r="V88" s="366"/>
      <c r="W88" s="365">
        <f>ABS(INDEX(W:W,MATCH(W82,$S:$S,0)+14)+INDEX(W:W,MATCH(W82,$S:$S,0)+15)+INDEX(W:W,MATCH(W82,$S:$S,0)+16))</f>
        <v>206</v>
      </c>
      <c r="X88" s="366"/>
      <c r="Y88" s="365">
        <f>ABS(INDEX(Y:Y,MATCH(Y82,$S:$S,0)+14)+INDEX(Y:Y,MATCH(Y82,$S:$S,0)+15)+INDEX(Y:Y,MATCH(Y82,$S:$S,0)+16))</f>
        <v>174</v>
      </c>
      <c r="Z88" s="366"/>
      <c r="AA88" s="365">
        <f>ABS(INDEX(AA:AA,MATCH(AA82,$S:$S,0)+14)+INDEX(AA:AA,MATCH(AA82,$S:$S,0)+15)+INDEX(AA:AA,MATCH(AA82,$S:$S,0)+16))</f>
        <v>210</v>
      </c>
      <c r="AB88" s="366"/>
      <c r="AC88" s="365">
        <f>ABS(INDEX(AC:AC,MATCH(AC82,$S:$S,0)+14)+INDEX(AC:AC,MATCH(AC82,$S:$S,0)+15)+INDEX(AC:AC,MATCH(AC82,$S:$S,0)+16))</f>
        <v>190</v>
      </c>
      <c r="AD88" s="36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12"/>
      <c r="BB88" s="213"/>
      <c r="BC88" s="214"/>
      <c r="BM88" s="216"/>
      <c r="BN88" s="214"/>
      <c r="BR88" s="214"/>
      <c r="BV88" s="214"/>
    </row>
    <row r="89" spans="1:74" ht="15.95" customHeight="1" x14ac:dyDescent="0.2">
      <c r="B89" s="359" t="str">
        <f t="shared" si="79"/>
        <v>Gesamt</v>
      </c>
      <c r="C89" s="360" t="str">
        <f t="shared" si="80"/>
        <v/>
      </c>
      <c r="D89" s="343">
        <f>IF(U89=1505,"",U89)</f>
        <v>676</v>
      </c>
      <c r="E89" s="343" t="str">
        <f>IF(V89=0,"",V89)</f>
        <v/>
      </c>
      <c r="F89" s="343">
        <f>IF(W89=1505,"",W89)</f>
        <v>686</v>
      </c>
      <c r="G89" s="343" t="str">
        <f>IF(X89=0,"",X89)</f>
        <v/>
      </c>
      <c r="H89" s="343">
        <f>IF(Y89=1505,"",Y89)</f>
        <v>768</v>
      </c>
      <c r="I89" s="343" t="str">
        <f>IF(Z89=0,"",Z89)</f>
        <v/>
      </c>
      <c r="J89" s="343">
        <f>IF(AA89=1505,"",AA89)</f>
        <v>750</v>
      </c>
      <c r="K89" s="343" t="str">
        <f>IF(AB89=0,"",AB89)</f>
        <v/>
      </c>
      <c r="L89" s="343">
        <f>IF(AC89=1505,"",AC89)</f>
        <v>659</v>
      </c>
      <c r="M89" s="343" t="str">
        <f>IF(AD89=0,"",AD89)</f>
        <v/>
      </c>
      <c r="N89" s="298"/>
      <c r="O89" s="298"/>
      <c r="S89" s="37" t="s">
        <v>1791</v>
      </c>
      <c r="T89" s="38"/>
      <c r="U89" s="359">
        <f>SUM(U85:U88)</f>
        <v>676</v>
      </c>
      <c r="V89" s="360"/>
      <c r="W89" s="359">
        <f>SUM(W85:W88)</f>
        <v>686</v>
      </c>
      <c r="X89" s="360"/>
      <c r="Y89" s="359">
        <f>SUM(Y85:Y88)</f>
        <v>768</v>
      </c>
      <c r="Z89" s="360"/>
      <c r="AA89" s="359">
        <f>SUM(AA85:AA88)</f>
        <v>750</v>
      </c>
      <c r="AB89" s="360"/>
      <c r="AC89" s="359">
        <f>SUM(AC85:AC88)</f>
        <v>659</v>
      </c>
      <c r="AD89" s="360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12"/>
      <c r="BB89" s="213"/>
      <c r="BC89" s="214"/>
      <c r="BM89" s="216"/>
      <c r="BN89" s="214"/>
      <c r="BR89" s="214"/>
      <c r="BV89" s="214"/>
    </row>
    <row r="90" spans="1:74" ht="10.5" customHeight="1" x14ac:dyDescent="0.2">
      <c r="B90" s="3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S90" s="3"/>
      <c r="T90" s="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12"/>
      <c r="BB90" s="213"/>
      <c r="BC90" s="214"/>
      <c r="BM90" s="216"/>
      <c r="BN90" s="214"/>
      <c r="BR90" s="214"/>
      <c r="BV90" s="214"/>
    </row>
    <row r="91" spans="1:74" ht="21" customHeight="1" x14ac:dyDescent="0.35">
      <c r="B91" s="7" t="str">
        <f>S91</f>
        <v>Team-Nr.</v>
      </c>
      <c r="C91" s="25"/>
      <c r="D91" s="7" t="str">
        <f>U91</f>
        <v>Liga:</v>
      </c>
      <c r="E91" s="77" t="str">
        <f>V91</f>
        <v>Bezirksliga N1 Männer</v>
      </c>
      <c r="F91" s="25"/>
      <c r="G91" s="25"/>
      <c r="H91" s="25"/>
      <c r="I91" s="25"/>
      <c r="J91" s="25"/>
      <c r="K91" s="25"/>
      <c r="L91" s="25"/>
      <c r="M91" s="376" t="str">
        <f>AD91</f>
        <v>13.10.</v>
      </c>
      <c r="N91" s="376"/>
      <c r="O91" s="376"/>
      <c r="P91" s="377"/>
      <c r="Q91" s="377"/>
      <c r="R91" s="377"/>
      <c r="S91" s="7" t="s">
        <v>1801</v>
      </c>
      <c r="T91" s="25"/>
      <c r="U91" s="30" t="s">
        <v>1785</v>
      </c>
      <c r="V91" s="77" t="str">
        <f>Schlüssel!$C$1</f>
        <v>Bezirksliga N1 Männer</v>
      </c>
      <c r="X91" s="25"/>
      <c r="Y91" s="25"/>
      <c r="Z91" s="25"/>
      <c r="AA91" s="25"/>
      <c r="AC91" s="29"/>
      <c r="AD91" s="358" t="str">
        <f>Schlüssel!$M$1</f>
        <v>13.10.</v>
      </c>
      <c r="AE91" s="358"/>
      <c r="AF91" s="358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212" t="s">
        <v>2078</v>
      </c>
      <c r="BB91" s="213" t="s">
        <v>1799</v>
      </c>
      <c r="BC91" s="214" t="s">
        <v>1823</v>
      </c>
      <c r="BD91" s="215" t="s">
        <v>1814</v>
      </c>
      <c r="BE91" s="215" t="s">
        <v>1799</v>
      </c>
      <c r="BF91" s="215" t="s">
        <v>1819</v>
      </c>
      <c r="BG91" s="215" t="s">
        <v>1815</v>
      </c>
      <c r="BH91" s="215" t="s">
        <v>2079</v>
      </c>
      <c r="BI91" s="215" t="s">
        <v>2080</v>
      </c>
      <c r="BJ91" s="215" t="s">
        <v>2081</v>
      </c>
      <c r="BK91" s="215" t="s">
        <v>2082</v>
      </c>
      <c r="BL91" s="215" t="s">
        <v>2083</v>
      </c>
      <c r="BM91" s="216" t="s">
        <v>2084</v>
      </c>
      <c r="BN91" s="214" t="s">
        <v>1820</v>
      </c>
      <c r="BO91" s="215" t="s">
        <v>2085</v>
      </c>
      <c r="BP91" s="215" t="s">
        <v>2086</v>
      </c>
      <c r="BQ91" s="215" t="s">
        <v>1823</v>
      </c>
      <c r="BR91" s="214" t="s">
        <v>1820</v>
      </c>
      <c r="BS91" s="216" t="s">
        <v>2087</v>
      </c>
      <c r="BT91" s="215" t="s">
        <v>2088</v>
      </c>
      <c r="BU91" s="215" t="s">
        <v>2089</v>
      </c>
      <c r="BV91" s="214" t="s">
        <v>1820</v>
      </c>
    </row>
    <row r="92" spans="1:74" ht="17.25" customHeight="1" thickBot="1" x14ac:dyDescent="0.3">
      <c r="B92" s="50">
        <f>S92</f>
        <v>4</v>
      </c>
      <c r="D92" s="30" t="str">
        <f>U92</f>
        <v>Ort:</v>
      </c>
      <c r="E92" s="84" t="str">
        <f>V92</f>
        <v>Nürnberg West Bowling</v>
      </c>
      <c r="F92" s="77"/>
      <c r="G92" s="77"/>
      <c r="H92" s="77"/>
      <c r="I92" s="77"/>
      <c r="J92" s="77"/>
      <c r="K92" s="77"/>
      <c r="L92" s="29" t="str">
        <f>AC92</f>
        <v>Spieltag:</v>
      </c>
      <c r="M92" s="86">
        <f>AD92</f>
        <v>1</v>
      </c>
      <c r="N92" s="28"/>
      <c r="R92" s="49"/>
      <c r="S92" s="50">
        <v>4</v>
      </c>
      <c r="U92" s="30" t="s">
        <v>1786</v>
      </c>
      <c r="V92" s="84" t="str">
        <f>Schlüssel!$C$2</f>
        <v>Nürnberg West Bowling</v>
      </c>
      <c r="X92" s="77"/>
      <c r="Y92" s="77"/>
      <c r="Z92" s="77"/>
      <c r="AA92" s="77"/>
      <c r="AB92" s="77"/>
      <c r="AC92" s="29" t="s">
        <v>1784</v>
      </c>
      <c r="AD92" s="34">
        <v>1</v>
      </c>
      <c r="AE92" s="28"/>
      <c r="BA92" s="212"/>
      <c r="BB92" s="213"/>
      <c r="BC92" s="214"/>
      <c r="BM92" s="216"/>
      <c r="BN92" s="214"/>
      <c r="BR92" s="214"/>
      <c r="BS92" s="216"/>
      <c r="BV92" s="214"/>
    </row>
    <row r="93" spans="1:74" ht="15.75" customHeight="1" thickBot="1" x14ac:dyDescent="0.25">
      <c r="B93" s="32" t="str">
        <f>VLOOKUP(B92,Schlüssel!$A$5:$B$10,2)</f>
        <v>Kings Club Bayreuth Land 3</v>
      </c>
      <c r="C93" s="31"/>
      <c r="D93" s="42"/>
      <c r="E93" s="46"/>
      <c r="F93" s="48"/>
      <c r="G93" s="27"/>
      <c r="H93" s="27"/>
      <c r="I93" s="27"/>
      <c r="J93" s="27"/>
      <c r="K93" s="27"/>
      <c r="L93" s="27"/>
      <c r="M93" s="85"/>
      <c r="S93" s="32" t="str">
        <f>VLOOKUP(S92,Schlüssel!$A$5:$B$10,2)</f>
        <v>Kings Club Bayreuth Land 3</v>
      </c>
      <c r="T93" s="31"/>
      <c r="U93" s="31"/>
      <c r="V93" s="190"/>
      <c r="W93" s="61"/>
      <c r="BA93" s="212"/>
      <c r="BB93" s="213"/>
      <c r="BC93" s="214"/>
      <c r="BM93" s="216"/>
      <c r="BN93" s="214"/>
      <c r="BR93" s="214"/>
      <c r="BS93" s="216"/>
      <c r="BV93" s="214"/>
    </row>
    <row r="94" spans="1:74" ht="13.5" thickBot="1" x14ac:dyDescent="0.25">
      <c r="A94" s="33"/>
      <c r="B94" s="7"/>
      <c r="C94" s="39"/>
      <c r="D94" s="43" t="s">
        <v>10</v>
      </c>
      <c r="E94" s="7">
        <f>VLOOKUP($B$2,Schlüssel!$A$5:$DZ$10,13)</f>
        <v>1</v>
      </c>
      <c r="F94" s="47" t="s">
        <v>10</v>
      </c>
      <c r="G94" s="7">
        <f>VLOOKUP($B$2,Schlüssel!$A$5:$DZ$10,14)</f>
        <v>3</v>
      </c>
      <c r="H94" s="47" t="s">
        <v>10</v>
      </c>
      <c r="I94" s="7">
        <f>VLOOKUP($B$2,Schlüssel!$A$5:$DZ$10,15)</f>
        <v>2</v>
      </c>
      <c r="J94" s="47" t="s">
        <v>10</v>
      </c>
      <c r="K94" s="7">
        <f>VLOOKUP($B$2,Schlüssel!$A$5:$DZ$10,16)</f>
        <v>4</v>
      </c>
      <c r="L94" s="47" t="s">
        <v>10</v>
      </c>
      <c r="M94" s="7">
        <f>VLOOKUP($B$2,Schlüssel!$A$5:$DZ$10,17)</f>
        <v>1</v>
      </c>
      <c r="R94" s="6"/>
      <c r="S94" s="7"/>
      <c r="T94" s="39"/>
      <c r="U94" s="194" t="s">
        <v>10</v>
      </c>
      <c r="V94" s="191">
        <f>VLOOKUP($S92,Schlüssel!$A$5:$DZ$10,13)</f>
        <v>4</v>
      </c>
      <c r="W94" s="193" t="s">
        <v>10</v>
      </c>
      <c r="X94" s="191">
        <f>VLOOKUP($S92,Schlüssel!$A$5:$DZ$10,14)</f>
        <v>2</v>
      </c>
      <c r="Y94" s="193" t="s">
        <v>10</v>
      </c>
      <c r="Z94" s="191">
        <f>VLOOKUP($S92,Schlüssel!$A$5:$DZ$10,15)</f>
        <v>6</v>
      </c>
      <c r="AA94" s="193" t="s">
        <v>10</v>
      </c>
      <c r="AB94" s="191">
        <f>VLOOKUP($S92,Schlüssel!$A$5:$DZ$10,16)</f>
        <v>3</v>
      </c>
      <c r="AC94" s="193" t="s">
        <v>10</v>
      </c>
      <c r="AD94" s="192">
        <f>VLOOKUP($S92,Schlüssel!$A$5:$DZ$10,17)</f>
        <v>5</v>
      </c>
      <c r="BA94" s="212"/>
      <c r="BB94" s="213"/>
      <c r="BC94" s="214"/>
      <c r="BM94" s="216"/>
      <c r="BN94" s="214"/>
      <c r="BR94" s="214"/>
      <c r="BS94" s="216"/>
      <c r="BV94" s="214"/>
    </row>
    <row r="95" spans="1:74" ht="20.25" customHeight="1" x14ac:dyDescent="0.2">
      <c r="B95" s="40" t="s">
        <v>1</v>
      </c>
      <c r="C95" s="41"/>
      <c r="D95" s="359" t="s">
        <v>1792</v>
      </c>
      <c r="E95" s="360"/>
      <c r="F95" s="359" t="s">
        <v>1793</v>
      </c>
      <c r="G95" s="360"/>
      <c r="H95" s="359" t="s">
        <v>1794</v>
      </c>
      <c r="I95" s="360"/>
      <c r="J95" s="359" t="s">
        <v>1795</v>
      </c>
      <c r="K95" s="360"/>
      <c r="L95" s="359" t="s">
        <v>1796</v>
      </c>
      <c r="M95" s="360"/>
      <c r="N95" s="361" t="s">
        <v>1791</v>
      </c>
      <c r="O95" s="362"/>
      <c r="S95" s="40" t="s">
        <v>1</v>
      </c>
      <c r="T95" s="41"/>
      <c r="U95" s="359" t="s">
        <v>1792</v>
      </c>
      <c r="V95" s="360"/>
      <c r="W95" s="359" t="s">
        <v>1793</v>
      </c>
      <c r="X95" s="360"/>
      <c r="Y95" s="359" t="s">
        <v>1794</v>
      </c>
      <c r="Z95" s="360"/>
      <c r="AA95" s="359" t="s">
        <v>1795</v>
      </c>
      <c r="AB95" s="360"/>
      <c r="AC95" s="359" t="s">
        <v>1796</v>
      </c>
      <c r="AD95" s="363"/>
      <c r="AE95" s="364" t="s">
        <v>1791</v>
      </c>
      <c r="AF95" s="36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12"/>
      <c r="BB95" s="213"/>
      <c r="BC95" s="214"/>
      <c r="BM95" s="216"/>
      <c r="BN95" s="214"/>
      <c r="BR95" s="214"/>
      <c r="BV95" s="214"/>
    </row>
    <row r="96" spans="1:74" ht="15" customHeight="1" thickBot="1" x14ac:dyDescent="0.25">
      <c r="B96" s="9" t="s">
        <v>1797</v>
      </c>
      <c r="C96" s="44" t="s">
        <v>1798</v>
      </c>
      <c r="D96" s="45" t="s">
        <v>1799</v>
      </c>
      <c r="E96" s="45" t="s">
        <v>1800</v>
      </c>
      <c r="F96" s="45" t="s">
        <v>1799</v>
      </c>
      <c r="G96" s="45" t="s">
        <v>1800</v>
      </c>
      <c r="H96" s="45" t="s">
        <v>1799</v>
      </c>
      <c r="I96" s="45" t="s">
        <v>1800</v>
      </c>
      <c r="J96" s="45" t="s">
        <v>1799</v>
      </c>
      <c r="K96" s="45" t="s">
        <v>1800</v>
      </c>
      <c r="L96" s="45" t="s">
        <v>1799</v>
      </c>
      <c r="M96" s="45" t="s">
        <v>1800</v>
      </c>
      <c r="N96" s="45" t="s">
        <v>1799</v>
      </c>
      <c r="O96" s="10" t="s">
        <v>1800</v>
      </c>
      <c r="S96" s="9" t="s">
        <v>1797</v>
      </c>
      <c r="T96" s="44" t="s">
        <v>1798</v>
      </c>
      <c r="U96" s="45" t="s">
        <v>1799</v>
      </c>
      <c r="V96" s="45" t="s">
        <v>1800</v>
      </c>
      <c r="W96" s="45" t="s">
        <v>1799</v>
      </c>
      <c r="X96" s="45" t="s">
        <v>1800</v>
      </c>
      <c r="Y96" s="45" t="s">
        <v>1799</v>
      </c>
      <c r="Z96" s="45" t="s">
        <v>1800</v>
      </c>
      <c r="AA96" s="45" t="s">
        <v>1799</v>
      </c>
      <c r="AB96" s="45" t="s">
        <v>1800</v>
      </c>
      <c r="AC96" s="45" t="s">
        <v>1799</v>
      </c>
      <c r="AD96" s="45" t="s">
        <v>1800</v>
      </c>
      <c r="AE96" s="9" t="s">
        <v>1799</v>
      </c>
      <c r="AF96" s="10" t="s">
        <v>1800</v>
      </c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212"/>
      <c r="BB96" s="213"/>
      <c r="BC96" s="214"/>
      <c r="BM96" s="216"/>
      <c r="BN96" s="214"/>
      <c r="BR96" s="214"/>
      <c r="BV96" s="214"/>
    </row>
    <row r="97" spans="1:74" ht="17.100000000000001" customHeight="1" x14ac:dyDescent="0.2">
      <c r="A97" s="373" t="s">
        <v>0</v>
      </c>
      <c r="B97" s="17" t="str">
        <f>IF(S97=0,"",S97)</f>
        <v>Zahiri, Ali</v>
      </c>
      <c r="C97" s="18">
        <f>IF(T97=0,"",T97)</f>
        <v>38509</v>
      </c>
      <c r="D97" s="14">
        <f>IF(U97=0,"",U97)</f>
        <v>135</v>
      </c>
      <c r="E97" s="352">
        <f>IF(V97="","",V97)</f>
        <v>0</v>
      </c>
      <c r="F97" s="14">
        <f t="shared" ref="F97:F110" si="82">IF(W97=0,"",W97)</f>
        <v>181</v>
      </c>
      <c r="G97" s="352">
        <f>IF(X97="","",X97)</f>
        <v>0</v>
      </c>
      <c r="H97" s="14">
        <f t="shared" ref="H97:H110" si="83">IF(Y97=0,"",Y97)</f>
        <v>158</v>
      </c>
      <c r="I97" s="352">
        <f>IF(Z97="","",Z97)</f>
        <v>0</v>
      </c>
      <c r="J97" s="14">
        <f t="shared" ref="J97:J110" si="84">IF(AA97=0,"",AA97)</f>
        <v>128</v>
      </c>
      <c r="K97" s="352">
        <f>IF(AB97="","",AB97)</f>
        <v>0</v>
      </c>
      <c r="L97" s="14">
        <f t="shared" ref="L97:L110" si="85">IF(AC97=0,"",AC97)</f>
        <v>169</v>
      </c>
      <c r="M97" s="352">
        <f>IF(AD97="","",AD97)</f>
        <v>0</v>
      </c>
      <c r="N97" s="14">
        <f t="shared" ref="N97:N110" si="86">IF(AE97=0,"",AE97)</f>
        <v>771</v>
      </c>
      <c r="O97" s="352">
        <f>IF(AF97="","",AF97)</f>
        <v>0</v>
      </c>
      <c r="R97" s="355" t="s">
        <v>0</v>
      </c>
      <c r="S97" s="68" t="str">
        <f>IF(T97=0,"",VLOOKUP(T97,Starter!$A$1:$D$196,2,FALSE))</f>
        <v>Zahiri, Ali</v>
      </c>
      <c r="T97" s="175">
        <v>38509</v>
      </c>
      <c r="U97" s="183">
        <v>135</v>
      </c>
      <c r="V97" s="95">
        <f>IF(SUM(U97:U99)+U115=0,0,IF(ABS(SUM(U97:U99))=U115,0.5,IF(ABS(SUM(U97:U99))&gt;U115,1,0)))</f>
        <v>0</v>
      </c>
      <c r="W97" s="183">
        <v>181</v>
      </c>
      <c r="X97" s="95">
        <f>IF(SUM(W97:W99)+W115=0,0,IF(ABS(SUM(W97:W99))=W115,0.5,IF(ABS(SUM(W97:W99))&gt;W115,1,0)))</f>
        <v>0</v>
      </c>
      <c r="Y97" s="183">
        <v>158</v>
      </c>
      <c r="Z97" s="95">
        <f>IF(SUM(Y97:Y99)+Y115=0,0,IF(ABS(SUM(Y97:Y99))=Y115,0.5,IF(ABS(SUM(Y97:Y99))&gt;Y115,1,0)))</f>
        <v>0</v>
      </c>
      <c r="AA97" s="189">
        <v>128</v>
      </c>
      <c r="AB97" s="95">
        <f>IF(SUM(AA97:AA99)+AA115=0,0,IF(ABS(SUM(AA97:AA99))=AA115,0.5,IF(ABS(SUM(AA97:AA99))&gt;AA115,1,0)))</f>
        <v>0</v>
      </c>
      <c r="AC97" s="183">
        <v>169</v>
      </c>
      <c r="AD97" s="95">
        <f>IF(SUM(AC97:AC99)+AC115=0,0,IF(ABS(SUM(AC97:AC99))=AC115,0.5,IF(ABS(SUM(AC97:AC99))&gt;AC115,1,0)))</f>
        <v>0</v>
      </c>
      <c r="AE97" s="195">
        <f t="shared" ref="AE97:AE108" si="87">ABS(SUM(U97:U97))+ABS(SUM(W97:W97))+ABS(SUM(Y97:Y97))+ABS(SUM(AA97:AA97))+ABS(SUM(AC97:AC97))</f>
        <v>771</v>
      </c>
      <c r="AF97" s="180">
        <f>SUM(V97+X97+Z97+AB97+AD97)</f>
        <v>0</v>
      </c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212"/>
      <c r="BB97" s="213"/>
      <c r="BC97" s="214"/>
      <c r="BD97" s="217">
        <f t="shared" ref="BD97:BD108" si="88">T97</f>
        <v>38509</v>
      </c>
      <c r="BE97" s="213">
        <f t="shared" ref="BE97:BE108" si="89">AE97</f>
        <v>771</v>
      </c>
      <c r="BF97" s="215">
        <f t="shared" ref="BF97:BF108" si="90">COUNT(BH97:BL97)</f>
        <v>5</v>
      </c>
      <c r="BG97" s="215">
        <f t="shared" ref="BG97:BG108" si="91">COUNTIF(BH97:BL97,"&gt;0")</f>
        <v>5</v>
      </c>
      <c r="BH97" s="215">
        <f t="shared" ref="BH97:BH108" si="92">IF(U97=0,"",U97)</f>
        <v>135</v>
      </c>
      <c r="BI97" s="215">
        <f t="shared" ref="BI97:BI108" si="93">IF(W97=0,"",W97)</f>
        <v>181</v>
      </c>
      <c r="BJ97" s="215">
        <f t="shared" ref="BJ97:BJ108" si="94">IF(Y97=0,"",Y97)</f>
        <v>158</v>
      </c>
      <c r="BK97" s="215">
        <f t="shared" ref="BK97:BK108" si="95">IF(AA97=0,"",AA97)</f>
        <v>128</v>
      </c>
      <c r="BL97" s="215">
        <f t="shared" ref="BL97:BL108" si="96">IF(AC97=0,"",AC97)</f>
        <v>169</v>
      </c>
      <c r="BM97" s="216"/>
      <c r="BN97" s="214"/>
      <c r="BO97" s="215">
        <f t="shared" ref="BO97:BO108" si="97">MAX(BH97:BL97)</f>
        <v>181</v>
      </c>
      <c r="BP97" s="215">
        <f t="shared" ref="BP97:BP108" si="98">IF(BO97&lt;MAX(BO:BO),0,BO97+ROW()/1000000000)</f>
        <v>0</v>
      </c>
      <c r="BQ97" s="215" t="str">
        <f>+S93</f>
        <v>Kings Club Bayreuth Land 3</v>
      </c>
      <c r="BR97" s="214">
        <f t="shared" ref="BR97:BR108" si="99">RANK(BP97,BP:BP)</f>
        <v>2</v>
      </c>
      <c r="BS97" s="215">
        <f t="shared" ref="BS97:BS108" si="100">SUMIF(BH97:BL97,"&gt;0")</f>
        <v>771</v>
      </c>
      <c r="BT97" s="215">
        <f>IF(COUNTIF(BH97:BL97,"&gt;0")&lt;Spielorte!$A$23,0,BE97/Spielorte!$A$23)</f>
        <v>154.19999999999999</v>
      </c>
      <c r="BU97" s="215">
        <f t="shared" ref="BU97:BU108" si="101">IF(BT97&lt;MAX(BT:BT),0,BT97+ROW()/1000000000)</f>
        <v>0</v>
      </c>
      <c r="BV97" s="214">
        <f t="shared" ref="BV97:BV108" si="102">IF(BU97=0,0,RANK(BU97,BU:BU))</f>
        <v>0</v>
      </c>
    </row>
    <row r="98" spans="1:74" ht="17.100000000000001" customHeight="1" x14ac:dyDescent="0.2">
      <c r="A98" s="374"/>
      <c r="B98" s="19" t="str">
        <f t="shared" ref="B98:B105" si="103">IF(S98=0,"",S98)</f>
        <v/>
      </c>
      <c r="C98" s="20" t="str">
        <f t="shared" ref="C98:C110" si="104">IF(T98=0,"",T98)</f>
        <v/>
      </c>
      <c r="D98" s="15" t="str">
        <f t="shared" ref="D98:D110" si="105">IF(U98=0,"",U98)</f>
        <v/>
      </c>
      <c r="E98" s="353"/>
      <c r="F98" s="15" t="str">
        <f t="shared" si="82"/>
        <v/>
      </c>
      <c r="G98" s="353"/>
      <c r="H98" s="15" t="str">
        <f t="shared" si="83"/>
        <v/>
      </c>
      <c r="I98" s="353"/>
      <c r="J98" s="15" t="str">
        <f t="shared" si="84"/>
        <v/>
      </c>
      <c r="K98" s="353"/>
      <c r="L98" s="15" t="str">
        <f t="shared" si="85"/>
        <v/>
      </c>
      <c r="M98" s="353"/>
      <c r="N98" s="15" t="str">
        <f t="shared" si="86"/>
        <v/>
      </c>
      <c r="O98" s="353"/>
      <c r="R98" s="356"/>
      <c r="S98" s="68" t="str">
        <f>IF(T98=0,"",VLOOKUP(T98,Starter!$A$1:$D$196,2,FALSE))</f>
        <v/>
      </c>
      <c r="T98" s="176"/>
      <c r="U98" s="184"/>
      <c r="V98" s="96"/>
      <c r="W98" s="184"/>
      <c r="X98" s="96"/>
      <c r="Y98" s="184"/>
      <c r="Z98" s="96"/>
      <c r="AA98" s="184"/>
      <c r="AB98" s="96"/>
      <c r="AC98" s="184"/>
      <c r="AD98" s="96"/>
      <c r="AE98" s="196">
        <f t="shared" si="87"/>
        <v>0</v>
      </c>
      <c r="AF98" s="181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212"/>
      <c r="BB98" s="213"/>
      <c r="BC98" s="214"/>
      <c r="BD98" s="217">
        <f t="shared" si="88"/>
        <v>0</v>
      </c>
      <c r="BE98" s="213">
        <f t="shared" si="89"/>
        <v>0</v>
      </c>
      <c r="BF98" s="215">
        <f t="shared" si="90"/>
        <v>0</v>
      </c>
      <c r="BG98" s="215">
        <f t="shared" si="91"/>
        <v>0</v>
      </c>
      <c r="BH98" s="215" t="str">
        <f t="shared" si="92"/>
        <v/>
      </c>
      <c r="BI98" s="215" t="str">
        <f t="shared" si="93"/>
        <v/>
      </c>
      <c r="BJ98" s="215" t="str">
        <f t="shared" si="94"/>
        <v/>
      </c>
      <c r="BK98" s="215" t="str">
        <f t="shared" si="95"/>
        <v/>
      </c>
      <c r="BL98" s="215" t="str">
        <f t="shared" si="96"/>
        <v/>
      </c>
      <c r="BM98" s="216"/>
      <c r="BN98" s="214"/>
      <c r="BO98" s="215">
        <f t="shared" si="97"/>
        <v>0</v>
      </c>
      <c r="BP98" s="215">
        <f t="shared" si="98"/>
        <v>0</v>
      </c>
      <c r="BQ98" s="215" t="str">
        <f t="shared" ref="BQ98:BQ108" si="106">+BQ97</f>
        <v>Kings Club Bayreuth Land 3</v>
      </c>
      <c r="BR98" s="214">
        <f t="shared" si="99"/>
        <v>2</v>
      </c>
      <c r="BS98" s="215">
        <f t="shared" si="100"/>
        <v>0</v>
      </c>
      <c r="BT98" s="215">
        <f>IF(COUNTIF(BH98:BL98,"&gt;0")&lt;Spielorte!$A$23,0,BE98/Spielorte!$A$23)</f>
        <v>0</v>
      </c>
      <c r="BU98" s="215">
        <f t="shared" si="101"/>
        <v>0</v>
      </c>
      <c r="BV98" s="214">
        <f t="shared" si="102"/>
        <v>0</v>
      </c>
    </row>
    <row r="99" spans="1:74" ht="17.100000000000001" customHeight="1" thickBot="1" x14ac:dyDescent="0.25">
      <c r="A99" s="375"/>
      <c r="B99" s="21" t="str">
        <f t="shared" si="103"/>
        <v/>
      </c>
      <c r="C99" s="22" t="str">
        <f t="shared" si="104"/>
        <v/>
      </c>
      <c r="D99" s="9" t="str">
        <f t="shared" si="105"/>
        <v/>
      </c>
      <c r="E99" s="354"/>
      <c r="F99" s="9" t="str">
        <f t="shared" si="82"/>
        <v/>
      </c>
      <c r="G99" s="354"/>
      <c r="H99" s="9" t="str">
        <f t="shared" si="83"/>
        <v/>
      </c>
      <c r="I99" s="354"/>
      <c r="J99" s="9" t="str">
        <f t="shared" si="84"/>
        <v/>
      </c>
      <c r="K99" s="354"/>
      <c r="L99" s="9" t="str">
        <f t="shared" si="85"/>
        <v/>
      </c>
      <c r="M99" s="354"/>
      <c r="N99" s="9" t="str">
        <f t="shared" si="86"/>
        <v/>
      </c>
      <c r="O99" s="354"/>
      <c r="R99" s="357"/>
      <c r="S99" s="69" t="str">
        <f>IF(T99=0,"",VLOOKUP(T99,Starter!$A$1:$D$196,2,FALSE))</f>
        <v/>
      </c>
      <c r="T99" s="177"/>
      <c r="U99" s="185"/>
      <c r="V99" s="96"/>
      <c r="W99" s="185"/>
      <c r="X99" s="96"/>
      <c r="Y99" s="185"/>
      <c r="Z99" s="96"/>
      <c r="AA99" s="185"/>
      <c r="AB99" s="96"/>
      <c r="AC99" s="185"/>
      <c r="AD99" s="96"/>
      <c r="AE99" s="197">
        <f t="shared" si="87"/>
        <v>0</v>
      </c>
      <c r="AF99" s="182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212"/>
      <c r="BB99" s="213"/>
      <c r="BC99" s="214"/>
      <c r="BD99" s="217">
        <f t="shared" si="88"/>
        <v>0</v>
      </c>
      <c r="BE99" s="213">
        <f t="shared" si="89"/>
        <v>0</v>
      </c>
      <c r="BF99" s="215">
        <f t="shared" si="90"/>
        <v>0</v>
      </c>
      <c r="BG99" s="215">
        <f t="shared" si="91"/>
        <v>0</v>
      </c>
      <c r="BH99" s="215" t="str">
        <f t="shared" si="92"/>
        <v/>
      </c>
      <c r="BI99" s="215" t="str">
        <f t="shared" si="93"/>
        <v/>
      </c>
      <c r="BJ99" s="215" t="str">
        <f t="shared" si="94"/>
        <v/>
      </c>
      <c r="BK99" s="215" t="str">
        <f t="shared" si="95"/>
        <v/>
      </c>
      <c r="BL99" s="215" t="str">
        <f t="shared" si="96"/>
        <v/>
      </c>
      <c r="BM99" s="216"/>
      <c r="BN99" s="214"/>
      <c r="BO99" s="215">
        <f t="shared" si="97"/>
        <v>0</v>
      </c>
      <c r="BP99" s="215">
        <f t="shared" si="98"/>
        <v>0</v>
      </c>
      <c r="BQ99" s="215" t="str">
        <f t="shared" si="106"/>
        <v>Kings Club Bayreuth Land 3</v>
      </c>
      <c r="BR99" s="214">
        <f t="shared" si="99"/>
        <v>2</v>
      </c>
      <c r="BS99" s="215">
        <f t="shared" si="100"/>
        <v>0</v>
      </c>
      <c r="BT99" s="215">
        <f>IF(COUNTIF(BH99:BL99,"&gt;0")&lt;Spielorte!$A$23,0,BE99/Spielorte!$A$23)</f>
        <v>0</v>
      </c>
      <c r="BU99" s="215">
        <f t="shared" si="101"/>
        <v>0</v>
      </c>
      <c r="BV99" s="214">
        <f t="shared" si="102"/>
        <v>0</v>
      </c>
    </row>
    <row r="100" spans="1:74" ht="17.100000000000001" customHeight="1" x14ac:dyDescent="0.2">
      <c r="A100" s="373" t="s">
        <v>2</v>
      </c>
      <c r="B100" s="17" t="str">
        <f t="shared" si="103"/>
        <v>Piehl, Fred</v>
      </c>
      <c r="C100" s="18">
        <f t="shared" si="104"/>
        <v>38507</v>
      </c>
      <c r="D100" s="14">
        <f t="shared" si="105"/>
        <v>171</v>
      </c>
      <c r="E100" s="352">
        <f>IF(V100="","",V100)</f>
        <v>1</v>
      </c>
      <c r="F100" s="14">
        <f t="shared" si="82"/>
        <v>116</v>
      </c>
      <c r="G100" s="352">
        <f>IF(X100="","",X100)</f>
        <v>0</v>
      </c>
      <c r="H100" s="14">
        <f t="shared" si="83"/>
        <v>157</v>
      </c>
      <c r="I100" s="352">
        <f>IF(Z100="","",Z100)</f>
        <v>0</v>
      </c>
      <c r="J100" s="14" t="str">
        <f t="shared" si="84"/>
        <v/>
      </c>
      <c r="K100" s="352">
        <f>IF(AB100="","",AB100)</f>
        <v>0</v>
      </c>
      <c r="L100" s="14" t="str">
        <f t="shared" si="85"/>
        <v/>
      </c>
      <c r="M100" s="352">
        <f>IF(AD100="","",AD100)</f>
        <v>0</v>
      </c>
      <c r="N100" s="14">
        <f t="shared" si="86"/>
        <v>444</v>
      </c>
      <c r="O100" s="352">
        <f>IF(AF100="","",AF100)</f>
        <v>1</v>
      </c>
      <c r="R100" s="355" t="s">
        <v>2</v>
      </c>
      <c r="S100" s="68" t="str">
        <f>IF(T100=0,"",VLOOKUP(T100,Starter!$A$1:$D$196,2,FALSE))</f>
        <v>Piehl, Fred</v>
      </c>
      <c r="T100" s="178">
        <v>38507</v>
      </c>
      <c r="U100" s="186">
        <v>171</v>
      </c>
      <c r="V100" s="95">
        <f>IF(SUM(U100:U102)+U116=0,0,IF(ABS(SUM(U100:U102))=U116,0.5,IF(ABS(SUM(U100:U102))&gt;U116,1,0)))</f>
        <v>1</v>
      </c>
      <c r="W100" s="186">
        <v>116</v>
      </c>
      <c r="X100" s="95">
        <f>IF(SUM(W100:W102)+W116=0,0,IF(ABS(SUM(W100:W102))=W116,0.5,IF(ABS(SUM(W100:W102))&gt;W116,1,0)))</f>
        <v>0</v>
      </c>
      <c r="Y100" s="186">
        <v>157</v>
      </c>
      <c r="Z100" s="95">
        <f>IF(SUM(Y100:Y102)+Y116=0,0,IF(ABS(SUM(Y100:Y102))=Y116,0.5,IF(ABS(SUM(Y100:Y102))&gt;Y116,1,0)))</f>
        <v>0</v>
      </c>
      <c r="AA100" s="186"/>
      <c r="AB100" s="95">
        <f>IF(SUM(AA100:AA102)+AA116=0,0,IF(ABS(SUM(AA100:AA102))=AA116,0.5,IF(ABS(SUM(AA100:AA102))&gt;AA116,1,0)))</f>
        <v>0</v>
      </c>
      <c r="AC100" s="186"/>
      <c r="AD100" s="95">
        <f>IF(SUM(AC100:AC102)+AC116=0,0,IF(ABS(SUM(AC100:AC102))=AC116,0.5,IF(ABS(SUM(AC100:AC102))&gt;AC116,1,0)))</f>
        <v>0</v>
      </c>
      <c r="AE100" s="195">
        <f t="shared" si="87"/>
        <v>444</v>
      </c>
      <c r="AF100" s="180">
        <f>SUM(V100+X100+Z100+AB100+AD100)</f>
        <v>1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212"/>
      <c r="BB100" s="213"/>
      <c r="BC100" s="214"/>
      <c r="BD100" s="217">
        <f t="shared" si="88"/>
        <v>38507</v>
      </c>
      <c r="BE100" s="213">
        <f t="shared" si="89"/>
        <v>444</v>
      </c>
      <c r="BF100" s="215">
        <f t="shared" si="90"/>
        <v>3</v>
      </c>
      <c r="BG100" s="215">
        <f t="shared" si="91"/>
        <v>3</v>
      </c>
      <c r="BH100" s="215">
        <f t="shared" si="92"/>
        <v>171</v>
      </c>
      <c r="BI100" s="215">
        <f t="shared" si="93"/>
        <v>116</v>
      </c>
      <c r="BJ100" s="215">
        <f t="shared" si="94"/>
        <v>157</v>
      </c>
      <c r="BK100" s="215" t="str">
        <f t="shared" si="95"/>
        <v/>
      </c>
      <c r="BL100" s="215" t="str">
        <f t="shared" si="96"/>
        <v/>
      </c>
      <c r="BM100" s="216"/>
      <c r="BN100" s="214"/>
      <c r="BO100" s="215">
        <f t="shared" si="97"/>
        <v>171</v>
      </c>
      <c r="BP100" s="215">
        <f t="shared" si="98"/>
        <v>0</v>
      </c>
      <c r="BQ100" s="215" t="str">
        <f t="shared" si="106"/>
        <v>Kings Club Bayreuth Land 3</v>
      </c>
      <c r="BR100" s="214">
        <f t="shared" si="99"/>
        <v>2</v>
      </c>
      <c r="BS100" s="215">
        <f t="shared" si="100"/>
        <v>444</v>
      </c>
      <c r="BT100" s="215">
        <f>IF(COUNTIF(BH100:BL100,"&gt;0")&lt;Spielorte!$A$23,0,BE100/Spielorte!$A$23)</f>
        <v>0</v>
      </c>
      <c r="BU100" s="215">
        <f t="shared" si="101"/>
        <v>0</v>
      </c>
      <c r="BV100" s="214">
        <f t="shared" si="102"/>
        <v>0</v>
      </c>
    </row>
    <row r="101" spans="1:74" ht="17.100000000000001" customHeight="1" x14ac:dyDescent="0.2">
      <c r="A101" s="374"/>
      <c r="B101" s="19" t="str">
        <f t="shared" si="103"/>
        <v>Hirsch, Edmund</v>
      </c>
      <c r="C101" s="20">
        <f t="shared" si="104"/>
        <v>38152</v>
      </c>
      <c r="D101" s="15" t="str">
        <f t="shared" si="105"/>
        <v/>
      </c>
      <c r="E101" s="353"/>
      <c r="F101" s="15" t="str">
        <f t="shared" si="82"/>
        <v/>
      </c>
      <c r="G101" s="353"/>
      <c r="H101" s="15" t="str">
        <f t="shared" si="83"/>
        <v/>
      </c>
      <c r="I101" s="353"/>
      <c r="J101" s="15">
        <f t="shared" si="84"/>
        <v>121</v>
      </c>
      <c r="K101" s="353"/>
      <c r="L101" s="15">
        <f t="shared" si="85"/>
        <v>161</v>
      </c>
      <c r="M101" s="353"/>
      <c r="N101" s="15">
        <f t="shared" si="86"/>
        <v>282</v>
      </c>
      <c r="O101" s="353"/>
      <c r="R101" s="356"/>
      <c r="S101" s="68" t="str">
        <f>IF(T101=0,"",VLOOKUP(T101,Starter!$A$1:$D$196,2,FALSE))</f>
        <v>Hirsch, Edmund</v>
      </c>
      <c r="T101" s="176">
        <v>38152</v>
      </c>
      <c r="U101" s="184"/>
      <c r="V101" s="96"/>
      <c r="W101" s="184"/>
      <c r="X101" s="96"/>
      <c r="Y101" s="184"/>
      <c r="Z101" s="96"/>
      <c r="AA101" s="184">
        <v>121</v>
      </c>
      <c r="AB101" s="96"/>
      <c r="AC101" s="184">
        <v>161</v>
      </c>
      <c r="AD101" s="96"/>
      <c r="AE101" s="196">
        <f t="shared" si="87"/>
        <v>282</v>
      </c>
      <c r="AF101" s="181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212"/>
      <c r="BB101" s="213"/>
      <c r="BC101" s="214"/>
      <c r="BD101" s="217">
        <f t="shared" si="88"/>
        <v>38152</v>
      </c>
      <c r="BE101" s="213">
        <f t="shared" si="89"/>
        <v>282</v>
      </c>
      <c r="BF101" s="215">
        <f t="shared" si="90"/>
        <v>2</v>
      </c>
      <c r="BG101" s="215">
        <f t="shared" si="91"/>
        <v>2</v>
      </c>
      <c r="BH101" s="215" t="str">
        <f t="shared" si="92"/>
        <v/>
      </c>
      <c r="BI101" s="215" t="str">
        <f t="shared" si="93"/>
        <v/>
      </c>
      <c r="BJ101" s="215" t="str">
        <f t="shared" si="94"/>
        <v/>
      </c>
      <c r="BK101" s="215">
        <f t="shared" si="95"/>
        <v>121</v>
      </c>
      <c r="BL101" s="215">
        <f t="shared" si="96"/>
        <v>161</v>
      </c>
      <c r="BM101" s="216"/>
      <c r="BN101" s="214"/>
      <c r="BO101" s="215">
        <f t="shared" si="97"/>
        <v>161</v>
      </c>
      <c r="BP101" s="215">
        <f t="shared" si="98"/>
        <v>0</v>
      </c>
      <c r="BQ101" s="215" t="str">
        <f t="shared" si="106"/>
        <v>Kings Club Bayreuth Land 3</v>
      </c>
      <c r="BR101" s="214">
        <f t="shared" si="99"/>
        <v>2</v>
      </c>
      <c r="BS101" s="215">
        <f t="shared" si="100"/>
        <v>282</v>
      </c>
      <c r="BT101" s="215">
        <f>IF(COUNTIF(BH101:BL101,"&gt;0")&lt;Spielorte!$A$23,0,BE101/Spielorte!$A$23)</f>
        <v>0</v>
      </c>
      <c r="BU101" s="215">
        <f t="shared" si="101"/>
        <v>0</v>
      </c>
      <c r="BV101" s="214">
        <f t="shared" si="102"/>
        <v>0</v>
      </c>
    </row>
    <row r="102" spans="1:74" ht="17.100000000000001" customHeight="1" thickBot="1" x14ac:dyDescent="0.25">
      <c r="A102" s="375"/>
      <c r="B102" s="21" t="str">
        <f t="shared" si="103"/>
        <v/>
      </c>
      <c r="C102" s="22" t="str">
        <f t="shared" si="104"/>
        <v/>
      </c>
      <c r="D102" s="9" t="str">
        <f t="shared" si="105"/>
        <v/>
      </c>
      <c r="E102" s="354"/>
      <c r="F102" s="9" t="str">
        <f t="shared" si="82"/>
        <v/>
      </c>
      <c r="G102" s="354"/>
      <c r="H102" s="9" t="str">
        <f t="shared" si="83"/>
        <v/>
      </c>
      <c r="I102" s="354"/>
      <c r="J102" s="9" t="str">
        <f t="shared" si="84"/>
        <v/>
      </c>
      <c r="K102" s="354"/>
      <c r="L102" s="9" t="str">
        <f t="shared" si="85"/>
        <v/>
      </c>
      <c r="M102" s="354"/>
      <c r="N102" s="9" t="str">
        <f t="shared" si="86"/>
        <v/>
      </c>
      <c r="O102" s="354"/>
      <c r="R102" s="357"/>
      <c r="S102" s="70" t="str">
        <f>IF(T102=0,"",VLOOKUP(T102,Starter!$A$1:$D$196,2,FALSE))</f>
        <v/>
      </c>
      <c r="T102" s="179"/>
      <c r="U102" s="187"/>
      <c r="V102" s="97"/>
      <c r="W102" s="187"/>
      <c r="X102" s="97"/>
      <c r="Y102" s="187"/>
      <c r="Z102" s="97"/>
      <c r="AA102" s="187"/>
      <c r="AB102" s="97"/>
      <c r="AC102" s="187"/>
      <c r="AD102" s="97"/>
      <c r="AE102" s="197">
        <f t="shared" si="87"/>
        <v>0</v>
      </c>
      <c r="AF102" s="18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212"/>
      <c r="BB102" s="213"/>
      <c r="BC102" s="214"/>
      <c r="BD102" s="217">
        <f t="shared" si="88"/>
        <v>0</v>
      </c>
      <c r="BE102" s="213">
        <f t="shared" si="89"/>
        <v>0</v>
      </c>
      <c r="BF102" s="215">
        <f t="shared" si="90"/>
        <v>0</v>
      </c>
      <c r="BG102" s="215">
        <f t="shared" si="91"/>
        <v>0</v>
      </c>
      <c r="BH102" s="215" t="str">
        <f t="shared" si="92"/>
        <v/>
      </c>
      <c r="BI102" s="215" t="str">
        <f t="shared" si="93"/>
        <v/>
      </c>
      <c r="BJ102" s="215" t="str">
        <f t="shared" si="94"/>
        <v/>
      </c>
      <c r="BK102" s="215" t="str">
        <f t="shared" si="95"/>
        <v/>
      </c>
      <c r="BL102" s="215" t="str">
        <f t="shared" si="96"/>
        <v/>
      </c>
      <c r="BM102" s="216"/>
      <c r="BN102" s="214"/>
      <c r="BO102" s="215">
        <f t="shared" si="97"/>
        <v>0</v>
      </c>
      <c r="BP102" s="215">
        <f t="shared" si="98"/>
        <v>0</v>
      </c>
      <c r="BQ102" s="215" t="str">
        <f t="shared" si="106"/>
        <v>Kings Club Bayreuth Land 3</v>
      </c>
      <c r="BR102" s="214">
        <f t="shared" si="99"/>
        <v>2</v>
      </c>
      <c r="BS102" s="215">
        <f t="shared" si="100"/>
        <v>0</v>
      </c>
      <c r="BT102" s="215">
        <f>IF(COUNTIF(BH102:BL102,"&gt;0")&lt;Spielorte!$A$23,0,BE102/Spielorte!$A$23)</f>
        <v>0</v>
      </c>
      <c r="BU102" s="215">
        <f t="shared" si="101"/>
        <v>0</v>
      </c>
      <c r="BV102" s="214">
        <f t="shared" si="102"/>
        <v>0</v>
      </c>
    </row>
    <row r="103" spans="1:74" ht="17.100000000000001" customHeight="1" x14ac:dyDescent="0.2">
      <c r="A103" s="373" t="s">
        <v>3</v>
      </c>
      <c r="B103" s="17" t="str">
        <f t="shared" si="103"/>
        <v>Sommerer, Stefan</v>
      </c>
      <c r="C103" s="18">
        <f t="shared" si="104"/>
        <v>38823</v>
      </c>
      <c r="D103" s="14">
        <f t="shared" si="105"/>
        <v>179</v>
      </c>
      <c r="E103" s="352">
        <f>IF(V103="","",V103)</f>
        <v>1</v>
      </c>
      <c r="F103" s="14">
        <f t="shared" si="82"/>
        <v>146</v>
      </c>
      <c r="G103" s="352">
        <f>IF(X103="","",X103)</f>
        <v>0</v>
      </c>
      <c r="H103" s="14">
        <f t="shared" si="83"/>
        <v>156</v>
      </c>
      <c r="I103" s="352">
        <f>IF(Z103="","",Z103)</f>
        <v>0</v>
      </c>
      <c r="J103" s="14">
        <f t="shared" si="84"/>
        <v>192</v>
      </c>
      <c r="K103" s="352">
        <f>IF(AB103="","",AB103)</f>
        <v>0</v>
      </c>
      <c r="L103" s="14">
        <f t="shared" si="85"/>
        <v>201</v>
      </c>
      <c r="M103" s="352">
        <f>IF(AD103="","",AD103)</f>
        <v>1</v>
      </c>
      <c r="N103" s="14">
        <f t="shared" si="86"/>
        <v>874</v>
      </c>
      <c r="O103" s="352">
        <f>IF(AF103="","",AF103)</f>
        <v>2</v>
      </c>
      <c r="R103" s="355" t="s">
        <v>3</v>
      </c>
      <c r="S103" s="68" t="str">
        <f>IF(T103=0,"",VLOOKUP(T103,Starter!$A$1:$D$196,2,FALSE))</f>
        <v>Sommerer, Stefan</v>
      </c>
      <c r="T103" s="178">
        <v>38823</v>
      </c>
      <c r="U103" s="186">
        <v>179</v>
      </c>
      <c r="V103" s="95">
        <f>IF(SUM(U103:U105)+U117=0,0,IF(ABS(SUM(U103:U105))=U117,0.5,IF(ABS(SUM(U103:U105))&gt;U117,1,0)))</f>
        <v>1</v>
      </c>
      <c r="W103" s="186">
        <v>146</v>
      </c>
      <c r="X103" s="95">
        <f>IF(SUM(W103:W105)+W117=0,0,IF(ABS(SUM(W103:W105))=W117,0.5,IF(ABS(SUM(W103:W105))&gt;W117,1,0)))</f>
        <v>0</v>
      </c>
      <c r="Y103" s="186">
        <v>156</v>
      </c>
      <c r="Z103" s="95">
        <f>IF(SUM(Y103:Y105)+Y117=0,0,IF(ABS(SUM(Y103:Y105))=Y117,0.5,IF(ABS(SUM(Y103:Y105))&gt;Y117,1,0)))</f>
        <v>0</v>
      </c>
      <c r="AA103" s="186">
        <v>192</v>
      </c>
      <c r="AB103" s="95">
        <f>IF(SUM(AA103:AA105)+AA117=0,0,IF(ABS(SUM(AA103:AA105))=AA117,0.5,IF(ABS(SUM(AA103:AA105))&gt;AA117,1,0)))</f>
        <v>0</v>
      </c>
      <c r="AC103" s="186">
        <v>201</v>
      </c>
      <c r="AD103" s="95">
        <f>IF(SUM(AC103:AC105)+AC117=0,0,IF(ABS(SUM(AC103:AC105))=AC117,0.5,IF(ABS(SUM(AC103:AC105))&gt;AC117,1,0)))</f>
        <v>1</v>
      </c>
      <c r="AE103" s="195">
        <f t="shared" si="87"/>
        <v>874</v>
      </c>
      <c r="AF103" s="180">
        <f>SUM(V103+X103+Z103+AB103+AD103)</f>
        <v>2</v>
      </c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212"/>
      <c r="BB103" s="213"/>
      <c r="BC103" s="214"/>
      <c r="BD103" s="217">
        <f t="shared" si="88"/>
        <v>38823</v>
      </c>
      <c r="BE103" s="213">
        <f t="shared" si="89"/>
        <v>874</v>
      </c>
      <c r="BF103" s="215">
        <f t="shared" si="90"/>
        <v>5</v>
      </c>
      <c r="BG103" s="215">
        <f t="shared" si="91"/>
        <v>5</v>
      </c>
      <c r="BH103" s="215">
        <f t="shared" si="92"/>
        <v>179</v>
      </c>
      <c r="BI103" s="215">
        <f t="shared" si="93"/>
        <v>146</v>
      </c>
      <c r="BJ103" s="215">
        <f t="shared" si="94"/>
        <v>156</v>
      </c>
      <c r="BK103" s="215">
        <f t="shared" si="95"/>
        <v>192</v>
      </c>
      <c r="BL103" s="215">
        <f t="shared" si="96"/>
        <v>201</v>
      </c>
      <c r="BM103" s="216"/>
      <c r="BN103" s="214"/>
      <c r="BO103" s="215">
        <f t="shared" si="97"/>
        <v>201</v>
      </c>
      <c r="BP103" s="215">
        <f t="shared" si="98"/>
        <v>0</v>
      </c>
      <c r="BQ103" s="215" t="str">
        <f t="shared" si="106"/>
        <v>Kings Club Bayreuth Land 3</v>
      </c>
      <c r="BR103" s="214">
        <f t="shared" si="99"/>
        <v>2</v>
      </c>
      <c r="BS103" s="215">
        <f t="shared" si="100"/>
        <v>874</v>
      </c>
      <c r="BT103" s="215">
        <f>IF(COUNTIF(BH103:BL103,"&gt;0")&lt;Spielorte!$A$23,0,BE103/Spielorte!$A$23)</f>
        <v>174.8</v>
      </c>
      <c r="BU103" s="215">
        <f t="shared" si="101"/>
        <v>0</v>
      </c>
      <c r="BV103" s="214">
        <f t="shared" si="102"/>
        <v>0</v>
      </c>
    </row>
    <row r="104" spans="1:74" ht="17.100000000000001" customHeight="1" x14ac:dyDescent="0.2">
      <c r="A104" s="374"/>
      <c r="B104" s="19" t="str">
        <f t="shared" si="103"/>
        <v/>
      </c>
      <c r="C104" s="20" t="str">
        <f t="shared" si="104"/>
        <v/>
      </c>
      <c r="D104" s="15" t="str">
        <f t="shared" si="105"/>
        <v/>
      </c>
      <c r="E104" s="353"/>
      <c r="F104" s="15" t="str">
        <f t="shared" si="82"/>
        <v/>
      </c>
      <c r="G104" s="353"/>
      <c r="H104" s="15" t="str">
        <f t="shared" si="83"/>
        <v/>
      </c>
      <c r="I104" s="353"/>
      <c r="J104" s="15" t="str">
        <f t="shared" si="84"/>
        <v/>
      </c>
      <c r="K104" s="353"/>
      <c r="L104" s="15" t="str">
        <f t="shared" si="85"/>
        <v/>
      </c>
      <c r="M104" s="353"/>
      <c r="N104" s="15" t="str">
        <f t="shared" si="86"/>
        <v/>
      </c>
      <c r="O104" s="353"/>
      <c r="R104" s="356"/>
      <c r="S104" s="68" t="str">
        <f>IF(T104=0,"",VLOOKUP(T104,Starter!$A$1:$D$196,2,FALSE))</f>
        <v/>
      </c>
      <c r="T104" s="176"/>
      <c r="U104" s="184"/>
      <c r="V104" s="96"/>
      <c r="W104" s="184"/>
      <c r="X104" s="96"/>
      <c r="Y104" s="184"/>
      <c r="Z104" s="96"/>
      <c r="AA104" s="184"/>
      <c r="AB104" s="96"/>
      <c r="AC104" s="184"/>
      <c r="AD104" s="96"/>
      <c r="AE104" s="196">
        <f t="shared" si="87"/>
        <v>0</v>
      </c>
      <c r="AF104" s="181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212"/>
      <c r="BB104" s="213"/>
      <c r="BC104" s="214"/>
      <c r="BD104" s="217">
        <f t="shared" si="88"/>
        <v>0</v>
      </c>
      <c r="BE104" s="213">
        <f t="shared" si="89"/>
        <v>0</v>
      </c>
      <c r="BF104" s="215">
        <f t="shared" si="90"/>
        <v>0</v>
      </c>
      <c r="BG104" s="215">
        <f t="shared" si="91"/>
        <v>0</v>
      </c>
      <c r="BH104" s="215" t="str">
        <f t="shared" si="92"/>
        <v/>
      </c>
      <c r="BI104" s="215" t="str">
        <f t="shared" si="93"/>
        <v/>
      </c>
      <c r="BJ104" s="215" t="str">
        <f t="shared" si="94"/>
        <v/>
      </c>
      <c r="BK104" s="215" t="str">
        <f t="shared" si="95"/>
        <v/>
      </c>
      <c r="BL104" s="215" t="str">
        <f t="shared" si="96"/>
        <v/>
      </c>
      <c r="BM104" s="216"/>
      <c r="BN104" s="214"/>
      <c r="BO104" s="215">
        <f t="shared" si="97"/>
        <v>0</v>
      </c>
      <c r="BP104" s="215">
        <f t="shared" si="98"/>
        <v>0</v>
      </c>
      <c r="BQ104" s="215" t="str">
        <f t="shared" si="106"/>
        <v>Kings Club Bayreuth Land 3</v>
      </c>
      <c r="BR104" s="214">
        <f t="shared" si="99"/>
        <v>2</v>
      </c>
      <c r="BS104" s="215">
        <f t="shared" si="100"/>
        <v>0</v>
      </c>
      <c r="BT104" s="215">
        <f>IF(COUNTIF(BH104:BL104,"&gt;0")&lt;Spielorte!$A$23,0,BE104/Spielorte!$A$23)</f>
        <v>0</v>
      </c>
      <c r="BU104" s="215">
        <f t="shared" si="101"/>
        <v>0</v>
      </c>
      <c r="BV104" s="214">
        <f t="shared" si="102"/>
        <v>0</v>
      </c>
    </row>
    <row r="105" spans="1:74" ht="17.100000000000001" customHeight="1" thickBot="1" x14ac:dyDescent="0.25">
      <c r="A105" s="375"/>
      <c r="B105" s="21" t="str">
        <f t="shared" si="103"/>
        <v/>
      </c>
      <c r="C105" s="22" t="str">
        <f t="shared" si="104"/>
        <v/>
      </c>
      <c r="D105" s="9" t="str">
        <f t="shared" si="105"/>
        <v/>
      </c>
      <c r="E105" s="354"/>
      <c r="F105" s="9" t="str">
        <f t="shared" si="82"/>
        <v/>
      </c>
      <c r="G105" s="354"/>
      <c r="H105" s="9" t="str">
        <f t="shared" si="83"/>
        <v/>
      </c>
      <c r="I105" s="354"/>
      <c r="J105" s="9" t="str">
        <f t="shared" si="84"/>
        <v/>
      </c>
      <c r="K105" s="354"/>
      <c r="L105" s="9" t="str">
        <f t="shared" si="85"/>
        <v/>
      </c>
      <c r="M105" s="354"/>
      <c r="N105" s="9" t="str">
        <f t="shared" si="86"/>
        <v/>
      </c>
      <c r="O105" s="354"/>
      <c r="R105" s="357"/>
      <c r="S105" s="70" t="str">
        <f>IF(T105=0,"",VLOOKUP(T105,Starter!$A$1:$D$196,2,FALSE))</f>
        <v/>
      </c>
      <c r="T105" s="179"/>
      <c r="U105" s="187"/>
      <c r="V105" s="97"/>
      <c r="W105" s="187"/>
      <c r="X105" s="97"/>
      <c r="Y105" s="187"/>
      <c r="Z105" s="97"/>
      <c r="AA105" s="187"/>
      <c r="AB105" s="97"/>
      <c r="AC105" s="187"/>
      <c r="AD105" s="97"/>
      <c r="AE105" s="197">
        <f t="shared" si="87"/>
        <v>0</v>
      </c>
      <c r="AF105" s="182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212"/>
      <c r="BB105" s="213"/>
      <c r="BC105" s="214"/>
      <c r="BD105" s="217">
        <f t="shared" si="88"/>
        <v>0</v>
      </c>
      <c r="BE105" s="213">
        <f t="shared" si="89"/>
        <v>0</v>
      </c>
      <c r="BF105" s="215">
        <f t="shared" si="90"/>
        <v>0</v>
      </c>
      <c r="BG105" s="215">
        <f t="shared" si="91"/>
        <v>0</v>
      </c>
      <c r="BH105" s="215" t="str">
        <f t="shared" si="92"/>
        <v/>
      </c>
      <c r="BI105" s="215" t="str">
        <f t="shared" si="93"/>
        <v/>
      </c>
      <c r="BJ105" s="215" t="str">
        <f t="shared" si="94"/>
        <v/>
      </c>
      <c r="BK105" s="215" t="str">
        <f t="shared" si="95"/>
        <v/>
      </c>
      <c r="BL105" s="215" t="str">
        <f t="shared" si="96"/>
        <v/>
      </c>
      <c r="BM105" s="216"/>
      <c r="BN105" s="214"/>
      <c r="BO105" s="215">
        <f t="shared" si="97"/>
        <v>0</v>
      </c>
      <c r="BP105" s="215">
        <f t="shared" si="98"/>
        <v>0</v>
      </c>
      <c r="BQ105" s="215" t="str">
        <f t="shared" si="106"/>
        <v>Kings Club Bayreuth Land 3</v>
      </c>
      <c r="BR105" s="214">
        <f t="shared" si="99"/>
        <v>2</v>
      </c>
      <c r="BS105" s="215">
        <f t="shared" si="100"/>
        <v>0</v>
      </c>
      <c r="BT105" s="215">
        <f>IF(COUNTIF(BH105:BL105,"&gt;0")&lt;Spielorte!$A$23,0,BE105/Spielorte!$A$23)</f>
        <v>0</v>
      </c>
      <c r="BU105" s="215">
        <f t="shared" si="101"/>
        <v>0</v>
      </c>
      <c r="BV105" s="214">
        <f t="shared" si="102"/>
        <v>0</v>
      </c>
    </row>
    <row r="106" spans="1:74" ht="17.100000000000001" customHeight="1" x14ac:dyDescent="0.2">
      <c r="A106" s="373" t="s">
        <v>11</v>
      </c>
      <c r="B106" s="17" t="str">
        <f>IF(S106=0,"",S106)</f>
        <v>Eichner, Karl</v>
      </c>
      <c r="C106" s="18">
        <f t="shared" si="104"/>
        <v>7586</v>
      </c>
      <c r="D106" s="14">
        <f t="shared" si="105"/>
        <v>191</v>
      </c>
      <c r="E106" s="352">
        <f>IF(V106="","",V106)</f>
        <v>1</v>
      </c>
      <c r="F106" s="14">
        <f t="shared" si="82"/>
        <v>211</v>
      </c>
      <c r="G106" s="352">
        <f>IF(X106="","",X106)</f>
        <v>0</v>
      </c>
      <c r="H106" s="14">
        <f t="shared" si="83"/>
        <v>189</v>
      </c>
      <c r="I106" s="352">
        <f>IF(Z106="","",Z106)</f>
        <v>0.5</v>
      </c>
      <c r="J106" s="14">
        <f t="shared" si="84"/>
        <v>178</v>
      </c>
      <c r="K106" s="352">
        <f>IF(AB106="","",AB106)</f>
        <v>0</v>
      </c>
      <c r="L106" s="14">
        <f t="shared" si="85"/>
        <v>235</v>
      </c>
      <c r="M106" s="352">
        <f>IF(AD106="","",AD106)</f>
        <v>1</v>
      </c>
      <c r="N106" s="14">
        <f t="shared" si="86"/>
        <v>1004</v>
      </c>
      <c r="O106" s="352">
        <f>IF(AF106="","",AF106)</f>
        <v>2.5</v>
      </c>
      <c r="R106" s="355" t="s">
        <v>11</v>
      </c>
      <c r="S106" s="68" t="str">
        <f>IF(T106=0,"",VLOOKUP(T106,Starter!$A$1:$D$196,2,FALSE))</f>
        <v>Eichner, Karl</v>
      </c>
      <c r="T106" s="178">
        <v>7586</v>
      </c>
      <c r="U106" s="186">
        <v>191</v>
      </c>
      <c r="V106" s="95">
        <f>IF(SUM(U106:U108)+U118=0,0,IF(ABS(SUM(U106:U108))=U118,0.5,IF(ABS(SUM(U106:U108))&gt;U118,1,0)))</f>
        <v>1</v>
      </c>
      <c r="W106" s="186">
        <v>211</v>
      </c>
      <c r="X106" s="95">
        <f>IF(SUM(W106:W108)+W118=0,0,IF(ABS(SUM(W106:W108))=W118,0.5,IF(ABS(SUM(W106:W108))&gt;W118,1,0)))</f>
        <v>0</v>
      </c>
      <c r="Y106" s="186">
        <v>189</v>
      </c>
      <c r="Z106" s="95">
        <f>IF(SUM(Y106:Y108)+Y118=0,0,IF(ABS(SUM(Y106:Y108))=Y118,0.5,IF(ABS(SUM(Y106:Y108))&gt;Y118,1,0)))</f>
        <v>0.5</v>
      </c>
      <c r="AA106" s="186">
        <v>178</v>
      </c>
      <c r="AB106" s="95">
        <f>IF(SUM(AA106:AA108)+AA118=0,0,IF(ABS(SUM(AA106:AA108))=AA118,0.5,IF(ABS(SUM(AA106:AA108))&gt;AA118,1,0)))</f>
        <v>0</v>
      </c>
      <c r="AC106" s="186">
        <v>235</v>
      </c>
      <c r="AD106" s="95">
        <f>IF(SUM(AC106:AC108)+AC118=0,0,IF(ABS(SUM(AC106:AC108))=AC118,0.5,IF(ABS(SUM(AC106:AC108))&gt;AC118,1,0)))</f>
        <v>1</v>
      </c>
      <c r="AE106" s="195">
        <f t="shared" si="87"/>
        <v>1004</v>
      </c>
      <c r="AF106" s="180">
        <f>SUM(V106+X106+Z106+AB106+AD106)</f>
        <v>2.5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212"/>
      <c r="BB106" s="213"/>
      <c r="BC106" s="214"/>
      <c r="BD106" s="217">
        <f t="shared" si="88"/>
        <v>7586</v>
      </c>
      <c r="BE106" s="213">
        <f t="shared" si="89"/>
        <v>1004</v>
      </c>
      <c r="BF106" s="215">
        <f t="shared" si="90"/>
        <v>5</v>
      </c>
      <c r="BG106" s="215">
        <f t="shared" si="91"/>
        <v>5</v>
      </c>
      <c r="BH106" s="215">
        <f t="shared" si="92"/>
        <v>191</v>
      </c>
      <c r="BI106" s="215">
        <f t="shared" si="93"/>
        <v>211</v>
      </c>
      <c r="BJ106" s="215">
        <f t="shared" si="94"/>
        <v>189</v>
      </c>
      <c r="BK106" s="215">
        <f t="shared" si="95"/>
        <v>178</v>
      </c>
      <c r="BL106" s="215">
        <f t="shared" si="96"/>
        <v>235</v>
      </c>
      <c r="BM106" s="216"/>
      <c r="BN106" s="214"/>
      <c r="BO106" s="215">
        <f t="shared" si="97"/>
        <v>235</v>
      </c>
      <c r="BP106" s="215">
        <f t="shared" si="98"/>
        <v>0</v>
      </c>
      <c r="BQ106" s="215" t="str">
        <f t="shared" si="106"/>
        <v>Kings Club Bayreuth Land 3</v>
      </c>
      <c r="BR106" s="214">
        <f t="shared" si="99"/>
        <v>2</v>
      </c>
      <c r="BS106" s="215">
        <f t="shared" si="100"/>
        <v>1004</v>
      </c>
      <c r="BT106" s="215">
        <f>IF(COUNTIF(BH106:BL106,"&gt;0")&lt;Spielorte!$A$23,0,BE106/Spielorte!$A$23)</f>
        <v>200.8</v>
      </c>
      <c r="BU106" s="215">
        <f t="shared" si="101"/>
        <v>0</v>
      </c>
      <c r="BV106" s="214">
        <f t="shared" si="102"/>
        <v>0</v>
      </c>
    </row>
    <row r="107" spans="1:74" ht="17.100000000000001" customHeight="1" x14ac:dyDescent="0.2">
      <c r="A107" s="374"/>
      <c r="B107" s="19" t="str">
        <f>IF(S107=0,"",S107)</f>
        <v/>
      </c>
      <c r="C107" s="20" t="str">
        <f t="shared" si="104"/>
        <v/>
      </c>
      <c r="D107" s="15" t="str">
        <f t="shared" si="105"/>
        <v/>
      </c>
      <c r="E107" s="353"/>
      <c r="F107" s="15" t="str">
        <f t="shared" si="82"/>
        <v/>
      </c>
      <c r="G107" s="353"/>
      <c r="H107" s="15" t="str">
        <f t="shared" si="83"/>
        <v/>
      </c>
      <c r="I107" s="353"/>
      <c r="J107" s="15" t="str">
        <f t="shared" si="84"/>
        <v/>
      </c>
      <c r="K107" s="353"/>
      <c r="L107" s="15" t="str">
        <f t="shared" si="85"/>
        <v/>
      </c>
      <c r="M107" s="353"/>
      <c r="N107" s="15" t="str">
        <f t="shared" si="86"/>
        <v/>
      </c>
      <c r="O107" s="353"/>
      <c r="R107" s="356"/>
      <c r="S107" s="68" t="str">
        <f>IF(T107=0,"",VLOOKUP(T107,Starter!$A$1:$D$196,2,FALSE))</f>
        <v/>
      </c>
      <c r="T107" s="176"/>
      <c r="U107" s="184"/>
      <c r="V107" s="96"/>
      <c r="W107" s="184"/>
      <c r="X107" s="96"/>
      <c r="Y107" s="184"/>
      <c r="Z107" s="96"/>
      <c r="AA107" s="184"/>
      <c r="AB107" s="96"/>
      <c r="AC107" s="184"/>
      <c r="AD107" s="96"/>
      <c r="AE107" s="196">
        <f t="shared" si="87"/>
        <v>0</v>
      </c>
      <c r="AF107" s="181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212"/>
      <c r="BB107" s="213"/>
      <c r="BC107" s="214"/>
      <c r="BD107" s="217">
        <f t="shared" si="88"/>
        <v>0</v>
      </c>
      <c r="BE107" s="213">
        <f t="shared" si="89"/>
        <v>0</v>
      </c>
      <c r="BF107" s="215">
        <f t="shared" si="90"/>
        <v>0</v>
      </c>
      <c r="BG107" s="215">
        <f t="shared" si="91"/>
        <v>0</v>
      </c>
      <c r="BH107" s="215" t="str">
        <f t="shared" si="92"/>
        <v/>
      </c>
      <c r="BI107" s="215" t="str">
        <f t="shared" si="93"/>
        <v/>
      </c>
      <c r="BJ107" s="215" t="str">
        <f t="shared" si="94"/>
        <v/>
      </c>
      <c r="BK107" s="215" t="str">
        <f t="shared" si="95"/>
        <v/>
      </c>
      <c r="BL107" s="215" t="str">
        <f t="shared" si="96"/>
        <v/>
      </c>
      <c r="BM107" s="216"/>
      <c r="BN107" s="214"/>
      <c r="BO107" s="215">
        <f t="shared" si="97"/>
        <v>0</v>
      </c>
      <c r="BP107" s="215">
        <f t="shared" si="98"/>
        <v>0</v>
      </c>
      <c r="BQ107" s="215" t="str">
        <f t="shared" si="106"/>
        <v>Kings Club Bayreuth Land 3</v>
      </c>
      <c r="BR107" s="214">
        <f t="shared" si="99"/>
        <v>2</v>
      </c>
      <c r="BS107" s="215">
        <f t="shared" si="100"/>
        <v>0</v>
      </c>
      <c r="BT107" s="215">
        <f>IF(COUNTIF(BH107:BL107,"&gt;0")&lt;Spielorte!$A$23,0,BE107/Spielorte!$A$23)</f>
        <v>0</v>
      </c>
      <c r="BU107" s="215">
        <f t="shared" si="101"/>
        <v>0</v>
      </c>
      <c r="BV107" s="214">
        <f t="shared" si="102"/>
        <v>0</v>
      </c>
    </row>
    <row r="108" spans="1:74" ht="17.100000000000001" customHeight="1" thickBot="1" x14ac:dyDescent="0.25">
      <c r="A108" s="375"/>
      <c r="B108" s="21" t="str">
        <f>IF(S108=0,"",S108)</f>
        <v/>
      </c>
      <c r="C108" s="22" t="str">
        <f t="shared" si="104"/>
        <v/>
      </c>
      <c r="D108" s="9" t="str">
        <f t="shared" si="105"/>
        <v/>
      </c>
      <c r="E108" s="354"/>
      <c r="F108" s="9" t="str">
        <f t="shared" si="82"/>
        <v/>
      </c>
      <c r="G108" s="354"/>
      <c r="H108" s="9" t="str">
        <f t="shared" si="83"/>
        <v/>
      </c>
      <c r="I108" s="354"/>
      <c r="J108" s="9" t="str">
        <f t="shared" si="84"/>
        <v/>
      </c>
      <c r="K108" s="354"/>
      <c r="L108" s="9" t="str">
        <f t="shared" si="85"/>
        <v/>
      </c>
      <c r="M108" s="354"/>
      <c r="N108" s="9" t="str">
        <f t="shared" si="86"/>
        <v/>
      </c>
      <c r="O108" s="354"/>
      <c r="R108" s="357"/>
      <c r="S108" s="70" t="str">
        <f>IF(T108=0,"",VLOOKUP(T108,Starter!$A$1:$D$196,2,FALSE))</f>
        <v/>
      </c>
      <c r="T108" s="179"/>
      <c r="U108" s="187"/>
      <c r="V108" s="97"/>
      <c r="W108" s="187"/>
      <c r="X108" s="97"/>
      <c r="Y108" s="187"/>
      <c r="Z108" s="97"/>
      <c r="AA108" s="187"/>
      <c r="AB108" s="97"/>
      <c r="AC108" s="187"/>
      <c r="AD108" s="97"/>
      <c r="AE108" s="197">
        <f t="shared" si="87"/>
        <v>0</v>
      </c>
      <c r="AF108" s="182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212"/>
      <c r="BB108" s="213"/>
      <c r="BC108" s="214"/>
      <c r="BD108" s="217">
        <f t="shared" si="88"/>
        <v>0</v>
      </c>
      <c r="BE108" s="213">
        <f t="shared" si="89"/>
        <v>0</v>
      </c>
      <c r="BF108" s="215">
        <f t="shared" si="90"/>
        <v>0</v>
      </c>
      <c r="BG108" s="215">
        <f t="shared" si="91"/>
        <v>0</v>
      </c>
      <c r="BH108" s="215" t="str">
        <f t="shared" si="92"/>
        <v/>
      </c>
      <c r="BI108" s="215" t="str">
        <f t="shared" si="93"/>
        <v/>
      </c>
      <c r="BJ108" s="215" t="str">
        <f t="shared" si="94"/>
        <v/>
      </c>
      <c r="BK108" s="215" t="str">
        <f t="shared" si="95"/>
        <v/>
      </c>
      <c r="BL108" s="215" t="str">
        <f t="shared" si="96"/>
        <v/>
      </c>
      <c r="BM108" s="216"/>
      <c r="BN108" s="214"/>
      <c r="BO108" s="215">
        <f t="shared" si="97"/>
        <v>0</v>
      </c>
      <c r="BP108" s="215">
        <f t="shared" si="98"/>
        <v>0</v>
      </c>
      <c r="BQ108" s="215" t="str">
        <f t="shared" si="106"/>
        <v>Kings Club Bayreuth Land 3</v>
      </c>
      <c r="BR108" s="214">
        <f t="shared" si="99"/>
        <v>2</v>
      </c>
      <c r="BS108" s="215">
        <f t="shared" si="100"/>
        <v>0</v>
      </c>
      <c r="BT108" s="215">
        <f>IF(COUNTIF(BH108:BL108,"&gt;0")&lt;Spielorte!$A$23,0,BE108/Spielorte!$A$23)</f>
        <v>0</v>
      </c>
      <c r="BU108" s="215">
        <f t="shared" si="101"/>
        <v>0</v>
      </c>
      <c r="BV108" s="214">
        <f t="shared" si="102"/>
        <v>0</v>
      </c>
    </row>
    <row r="109" spans="1:74" ht="27.75" customHeight="1" thickBot="1" x14ac:dyDescent="0.25">
      <c r="B109" s="11" t="str">
        <f>IF(S109=0,"",S109)</f>
        <v>Gesamt</v>
      </c>
      <c r="C109" s="26" t="str">
        <f t="shared" si="104"/>
        <v/>
      </c>
      <c r="D109" s="16">
        <f t="shared" si="105"/>
        <v>676</v>
      </c>
      <c r="E109" s="12">
        <f>IF(V109="","",V109)</f>
        <v>2</v>
      </c>
      <c r="F109" s="16">
        <f t="shared" si="82"/>
        <v>654</v>
      </c>
      <c r="G109" s="12">
        <f>IF(X109="","",X109)</f>
        <v>0</v>
      </c>
      <c r="H109" s="16">
        <f t="shared" si="83"/>
        <v>660</v>
      </c>
      <c r="I109" s="12">
        <f>IF(Z109="","",Z109)</f>
        <v>0</v>
      </c>
      <c r="J109" s="16">
        <f t="shared" si="84"/>
        <v>619</v>
      </c>
      <c r="K109" s="12">
        <f>IF(AB109="","",AB109)</f>
        <v>0</v>
      </c>
      <c r="L109" s="16">
        <f t="shared" si="85"/>
        <v>766</v>
      </c>
      <c r="M109" s="12">
        <f>IF(AD109="","",AD109)</f>
        <v>0</v>
      </c>
      <c r="N109" s="16">
        <f t="shared" si="86"/>
        <v>3375</v>
      </c>
      <c r="O109" s="12">
        <f>IF(AF109="","",AF109)</f>
        <v>2</v>
      </c>
      <c r="S109" s="11" t="s">
        <v>1791</v>
      </c>
      <c r="T109" s="71"/>
      <c r="U109" s="188">
        <f>ABS(SUM(U97:U99))+ABS(SUM(U100:U102))+ABS(SUM(U103:U105))+ABS(SUM(U106:U108))</f>
        <v>676</v>
      </c>
      <c r="V109" s="98">
        <f>IF(U109+U119=0,0,IF(U109=U119,1,IF(U109&gt;U119,2,0)))</f>
        <v>2</v>
      </c>
      <c r="W109" s="188">
        <f>ABS(SUM(W97:W99))+ABS(SUM(W100:W102))+ABS(SUM(W103:W105))+ABS(SUM(W106:W108))</f>
        <v>654</v>
      </c>
      <c r="X109" s="98">
        <f>IF(W109+W119=0,0,IF(W109=W119,1,IF(W109&gt;W119,2,0)))</f>
        <v>0</v>
      </c>
      <c r="Y109" s="188">
        <f>ABS(SUM(Y97:Y99))+ABS(SUM(Y100:Y102))+ABS(SUM(Y103:Y105))+ABS(SUM(Y106:Y108))</f>
        <v>660</v>
      </c>
      <c r="Z109" s="98">
        <f>IF(Y109+Y119=0,0,IF(Y109=Y119,1,IF(Y109&gt;Y119,2,0)))</f>
        <v>0</v>
      </c>
      <c r="AA109" s="188">
        <f>ABS(SUM(AA97:AA99))+ABS(SUM(AA100:AA102))+ABS(SUM(AA103:AA105))+ABS(SUM(AA106:AA108))</f>
        <v>619</v>
      </c>
      <c r="AB109" s="98">
        <f>IF(AA109+AA119=0,0,IF(AA109=AA119,1,IF(AA109&gt;AA119,2,0)))</f>
        <v>0</v>
      </c>
      <c r="AC109" s="188">
        <f>ABS(SUM(AC97:AC99))+ABS(SUM(AC100:AC102))+ABS(SUM(AC103:AC105))+ABS(SUM(AC106:AC108))</f>
        <v>766</v>
      </c>
      <c r="AD109" s="98">
        <f>IF(AC109+AC119=0,0,IF(AC109=AC119,1,IF(AC109&gt;AC119,2,0)))</f>
        <v>0</v>
      </c>
      <c r="AE109" s="198">
        <f>SUM(U109+W109+Y109+AA109+AC109)</f>
        <v>3375</v>
      </c>
      <c r="AF109" s="12">
        <f>SUM(V109+X109+Z109+AB109+AD109)</f>
        <v>2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212"/>
      <c r="BB109" s="213"/>
      <c r="BC109" s="214"/>
      <c r="BM109" s="216"/>
      <c r="BN109" s="214"/>
      <c r="BR109" s="214"/>
      <c r="BV109" s="214"/>
    </row>
    <row r="110" spans="1:74" ht="24" customHeight="1" thickBot="1" x14ac:dyDescent="0.25">
      <c r="B110" s="8" t="str">
        <f>IF(S110=0,"",S110)</f>
        <v>Gesamt - Punkte</v>
      </c>
      <c r="C110" s="1" t="str">
        <f t="shared" si="104"/>
        <v/>
      </c>
      <c r="D110" s="1" t="str">
        <f t="shared" si="105"/>
        <v/>
      </c>
      <c r="E110" s="23">
        <f>IF(V110="","",V110)</f>
        <v>5</v>
      </c>
      <c r="F110" s="1" t="str">
        <f t="shared" si="82"/>
        <v/>
      </c>
      <c r="G110" s="23">
        <f>IF(X110="","",X110)</f>
        <v>0</v>
      </c>
      <c r="H110" s="1" t="str">
        <f t="shared" si="83"/>
        <v/>
      </c>
      <c r="I110" s="23">
        <f>IF(Z110="","",Z110)</f>
        <v>0.5</v>
      </c>
      <c r="J110" s="1" t="str">
        <f t="shared" si="84"/>
        <v/>
      </c>
      <c r="K110" s="23">
        <f>IF(AB110="","",AB110)</f>
        <v>0</v>
      </c>
      <c r="L110" s="1" t="str">
        <f t="shared" si="85"/>
        <v/>
      </c>
      <c r="M110" s="23">
        <f>IF(AD110="","",AD110)</f>
        <v>2</v>
      </c>
      <c r="N110" s="1" t="str">
        <f t="shared" si="86"/>
        <v/>
      </c>
      <c r="O110" s="23">
        <f>IF(AF110="","",AF110)</f>
        <v>7.5</v>
      </c>
      <c r="S110" s="8" t="s">
        <v>1802</v>
      </c>
      <c r="T110" s="1"/>
      <c r="U110" s="1"/>
      <c r="V110" s="72">
        <f>SUM(V97:V109)</f>
        <v>5</v>
      </c>
      <c r="W110" s="1"/>
      <c r="X110" s="72">
        <f>SUM(X97:X109)</f>
        <v>0</v>
      </c>
      <c r="Y110" s="1"/>
      <c r="Z110" s="72">
        <f>SUM(Z97:Z109)</f>
        <v>0.5</v>
      </c>
      <c r="AA110" s="1"/>
      <c r="AB110" s="72">
        <f>SUM(AB97:AB109)</f>
        <v>0</v>
      </c>
      <c r="AC110" s="1"/>
      <c r="AD110" s="72">
        <f>SUM(AD97:AD109)</f>
        <v>2</v>
      </c>
      <c r="AE110" s="1"/>
      <c r="AF110" s="72">
        <f>SUM(AF97:AF109)</f>
        <v>7.5</v>
      </c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212">
        <f>AF110</f>
        <v>7.5</v>
      </c>
      <c r="BB110" s="213">
        <f>AE109</f>
        <v>3375</v>
      </c>
      <c r="BC110" s="214">
        <f>+S92</f>
        <v>4</v>
      </c>
      <c r="BF110" s="215">
        <f>SUM(BF91:BF109)</f>
        <v>20</v>
      </c>
      <c r="BM110" s="212">
        <f>+BB110/1000000+BA110</f>
        <v>7.5033750000000001</v>
      </c>
      <c r="BN110" s="214">
        <f>RANK(BM110,BM:BM)</f>
        <v>6</v>
      </c>
      <c r="BR110" s="214"/>
      <c r="BV110" s="214"/>
    </row>
    <row r="111" spans="1:74" ht="11.25" customHeight="1" x14ac:dyDescent="0.2">
      <c r="B111" s="1"/>
      <c r="C111" s="1"/>
      <c r="D111" s="1"/>
      <c r="E111" s="2"/>
      <c r="F111" s="1"/>
      <c r="G111" s="2"/>
      <c r="H111" s="1"/>
      <c r="I111" s="2"/>
      <c r="J111" s="1"/>
      <c r="K111" s="2"/>
      <c r="L111" s="1"/>
      <c r="M111" s="2"/>
      <c r="N111" s="1"/>
      <c r="O111" s="2"/>
      <c r="S111" s="1"/>
      <c r="T111" s="1"/>
      <c r="U111" s="1"/>
      <c r="V111" s="2"/>
      <c r="W111" s="1"/>
      <c r="X111" s="2"/>
      <c r="Y111" s="1"/>
      <c r="Z111" s="2"/>
      <c r="AA111" s="1"/>
      <c r="AB111" s="2"/>
      <c r="AC111" s="1"/>
      <c r="AD111" s="2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12"/>
      <c r="BB111" s="213"/>
      <c r="BC111" s="214"/>
      <c r="BM111" s="216"/>
      <c r="BN111" s="214"/>
      <c r="BR111" s="214"/>
      <c r="BV111" s="214"/>
    </row>
    <row r="112" spans="1:74" ht="12.75" customHeight="1" x14ac:dyDescent="0.2">
      <c r="B112" s="13" t="str">
        <f t="shared" ref="B112:B119" si="107">IF(S112=0,"",S112)</f>
        <v>Gegner-Nr.:</v>
      </c>
      <c r="C112" s="5" t="str">
        <f t="shared" ref="C112:C119" si="108">IF(T112=0,"",T112)</f>
        <v>&gt;&gt;&gt;&gt;</v>
      </c>
      <c r="D112" s="350">
        <f t="shared" ref="D112:M114" si="109">IF(U112=0,"",U112)</f>
        <v>3</v>
      </c>
      <c r="E112" s="350" t="str">
        <f t="shared" si="109"/>
        <v/>
      </c>
      <c r="F112" s="350">
        <f t="shared" si="109"/>
        <v>5</v>
      </c>
      <c r="G112" s="350" t="str">
        <f t="shared" si="109"/>
        <v/>
      </c>
      <c r="H112" s="350">
        <f t="shared" si="109"/>
        <v>6</v>
      </c>
      <c r="I112" s="350" t="str">
        <f t="shared" si="109"/>
        <v/>
      </c>
      <c r="J112" s="350">
        <f t="shared" si="109"/>
        <v>1</v>
      </c>
      <c r="K112" s="350" t="str">
        <f t="shared" si="109"/>
        <v/>
      </c>
      <c r="L112" s="350">
        <f t="shared" si="109"/>
        <v>2</v>
      </c>
      <c r="M112" s="350" t="str">
        <f t="shared" si="109"/>
        <v/>
      </c>
      <c r="N112" s="351"/>
      <c r="O112" s="351"/>
      <c r="S112" s="13" t="s">
        <v>1789</v>
      </c>
      <c r="T112" s="5" t="s">
        <v>1790</v>
      </c>
      <c r="U112" s="369">
        <f>VLOOKUP($S92,Schlüssel!$A$5:$K$10,3)</f>
        <v>3</v>
      </c>
      <c r="V112" s="370"/>
      <c r="W112" s="369">
        <f>VLOOKUP($S92,Schlüssel!$A$5:$K$10,4)</f>
        <v>5</v>
      </c>
      <c r="X112" s="370"/>
      <c r="Y112" s="369">
        <f>VLOOKUP($S92,Schlüssel!$A$5:$K$10,5)</f>
        <v>6</v>
      </c>
      <c r="Z112" s="370"/>
      <c r="AA112" s="369">
        <f>VLOOKUP($S92,Schlüssel!$A$5:$K$10,6)</f>
        <v>1</v>
      </c>
      <c r="AB112" s="370"/>
      <c r="AC112" s="369">
        <f>VLOOKUP($S92,Schlüssel!$A$5:$K$10,7)</f>
        <v>2</v>
      </c>
      <c r="AD112" s="370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212"/>
      <c r="BB112" s="213"/>
      <c r="BC112" s="214"/>
      <c r="BM112" s="216"/>
      <c r="BN112" s="214"/>
      <c r="BR112" s="214"/>
      <c r="BV112" s="214"/>
    </row>
    <row r="113" spans="1:74" ht="28.5" customHeight="1" x14ac:dyDescent="0.2">
      <c r="B113" s="4" t="str">
        <f t="shared" si="107"/>
        <v/>
      </c>
      <c r="C113" s="1" t="str">
        <f t="shared" si="108"/>
        <v/>
      </c>
      <c r="D113" s="347" t="str">
        <f t="shared" si="109"/>
        <v>Kings Club Bayreuth Land 2</v>
      </c>
      <c r="E113" s="348" t="str">
        <f t="shared" si="109"/>
        <v/>
      </c>
      <c r="F113" s="347" t="str">
        <f t="shared" si="109"/>
        <v>Castra Regina Regensburg 2</v>
      </c>
      <c r="G113" s="348" t="str">
        <f t="shared" si="109"/>
        <v/>
      </c>
      <c r="H113" s="347" t="str">
        <f t="shared" si="109"/>
        <v>Adler Nürnberg 1</v>
      </c>
      <c r="I113" s="348" t="str">
        <f t="shared" si="109"/>
        <v/>
      </c>
      <c r="J113" s="347" t="str">
        <f t="shared" si="109"/>
        <v>Castra Regina Regensburg 3</v>
      </c>
      <c r="K113" s="348" t="str">
        <f t="shared" si="109"/>
        <v/>
      </c>
      <c r="L113" s="347" t="str">
        <f t="shared" si="109"/>
        <v>Herzogenaurach 1</v>
      </c>
      <c r="M113" s="348" t="str">
        <f t="shared" si="109"/>
        <v/>
      </c>
      <c r="N113" s="349"/>
      <c r="O113" s="349"/>
      <c r="S113" s="4"/>
      <c r="T113" s="1"/>
      <c r="U113" s="347" t="str">
        <f>VLOOKUP(U112,Schlüssel!$A$5:$K$10,2)</f>
        <v>Kings Club Bayreuth Land 2</v>
      </c>
      <c r="V113" s="348"/>
      <c r="W113" s="347" t="str">
        <f>VLOOKUP(W112,Schlüssel!$A$5:$K$10,2)</f>
        <v>Castra Regina Regensburg 2</v>
      </c>
      <c r="X113" s="348"/>
      <c r="Y113" s="347" t="str">
        <f>VLOOKUP(Y112,Schlüssel!$A$5:$K$10,2)</f>
        <v>Adler Nürnberg 1</v>
      </c>
      <c r="Z113" s="348"/>
      <c r="AA113" s="347" t="str">
        <f>VLOOKUP(AA112,Schlüssel!$A$5:$K$10,2)</f>
        <v>Castra Regina Regensburg 3</v>
      </c>
      <c r="AB113" s="348"/>
      <c r="AC113" s="347" t="str">
        <f>VLOOKUP(AC112,Schlüssel!$A$5:$K$10,2)</f>
        <v>Herzogenaurach 1</v>
      </c>
      <c r="AD113" s="348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212"/>
      <c r="BB113" s="213"/>
      <c r="BC113" s="214"/>
      <c r="BM113" s="216"/>
      <c r="BN113" s="214"/>
      <c r="BR113" s="214"/>
      <c r="BV113" s="214"/>
    </row>
    <row r="114" spans="1:74" ht="12" customHeight="1" x14ac:dyDescent="0.2">
      <c r="B114" s="4" t="str">
        <f t="shared" si="107"/>
        <v/>
      </c>
      <c r="C114" s="1" t="str">
        <f t="shared" si="108"/>
        <v/>
      </c>
      <c r="D114" s="346" t="str">
        <f t="shared" si="109"/>
        <v/>
      </c>
      <c r="E114" s="346" t="str">
        <f t="shared" si="109"/>
        <v/>
      </c>
      <c r="F114" s="346" t="str">
        <f t="shared" si="109"/>
        <v/>
      </c>
      <c r="G114" s="346" t="str">
        <f t="shared" si="109"/>
        <v/>
      </c>
      <c r="H114" s="346" t="str">
        <f t="shared" si="109"/>
        <v/>
      </c>
      <c r="I114" s="346" t="str">
        <f t="shared" si="109"/>
        <v/>
      </c>
      <c r="J114" s="346" t="str">
        <f t="shared" si="109"/>
        <v/>
      </c>
      <c r="K114" s="346" t="str">
        <f t="shared" si="109"/>
        <v/>
      </c>
      <c r="L114" s="346" t="str">
        <f t="shared" si="109"/>
        <v/>
      </c>
      <c r="M114" s="346" t="str">
        <f t="shared" si="109"/>
        <v/>
      </c>
      <c r="N114" s="310"/>
      <c r="O114" s="310"/>
      <c r="S114" s="4"/>
      <c r="T114" s="1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212"/>
      <c r="BB114" s="213"/>
      <c r="BC114" s="214"/>
      <c r="BM114" s="216"/>
      <c r="BN114" s="214"/>
      <c r="BR114" s="214"/>
      <c r="BV114" s="214"/>
    </row>
    <row r="115" spans="1:74" ht="15.95" customHeight="1" x14ac:dyDescent="0.2">
      <c r="B115" s="371" t="str">
        <f t="shared" si="107"/>
        <v>Spieler 1</v>
      </c>
      <c r="C115" s="372" t="str">
        <f t="shared" si="108"/>
        <v/>
      </c>
      <c r="D115" s="344">
        <f>IF(U115=301,"",U115)</f>
        <v>182</v>
      </c>
      <c r="E115" s="344" t="str">
        <f>IF(V115=0,"",V115)</f>
        <v/>
      </c>
      <c r="F115" s="344">
        <f>IF(W115=301,"",W115)</f>
        <v>196</v>
      </c>
      <c r="G115" s="344" t="str">
        <f>IF(X115=0,"",X115)</f>
        <v/>
      </c>
      <c r="H115" s="344">
        <f>IF(Y115=301,"",Y115)</f>
        <v>190</v>
      </c>
      <c r="I115" s="344" t="str">
        <f>IF(Z115=0,"",Z115)</f>
        <v/>
      </c>
      <c r="J115" s="344">
        <f>IF(AA115=301,"",AA115)</f>
        <v>198</v>
      </c>
      <c r="K115" s="344" t="str">
        <f>IF(AB115=0,"",AB115)</f>
        <v/>
      </c>
      <c r="L115" s="344">
        <f>IF(AC115=301,"",AC115)</f>
        <v>224</v>
      </c>
      <c r="M115" s="344" t="str">
        <f>IF(AD115=0,"",AD115)</f>
        <v/>
      </c>
      <c r="N115" s="345"/>
      <c r="O115" s="345"/>
      <c r="S115" s="35" t="s">
        <v>0</v>
      </c>
      <c r="T115" s="36"/>
      <c r="U115" s="367">
        <f>ABS(INDEX(U:U,MATCH(U112,$S:$S,0)+5)+INDEX(U:U,MATCH(U112,$S:$S,0)+6)+INDEX(U:U,MATCH(U112,$S:$S,0)+7))</f>
        <v>182</v>
      </c>
      <c r="V115" s="368"/>
      <c r="W115" s="367">
        <f>ABS(INDEX(W:W,MATCH(W112,$S:$S,0)+5)+INDEX(W:W,MATCH(W112,$S:$S,0)+6)+INDEX(W:W,MATCH(W112,$S:$S,0)+7))</f>
        <v>196</v>
      </c>
      <c r="X115" s="368"/>
      <c r="Y115" s="367">
        <f>ABS(INDEX(Y:Y,MATCH(Y112,$S:$S,0)+5)+INDEX(Y:Y,MATCH(Y112,$S:$S,0)+6)+INDEX(Y:Y,MATCH(Y112,$S:$S,0)+7))</f>
        <v>190</v>
      </c>
      <c r="Z115" s="368"/>
      <c r="AA115" s="367">
        <f>ABS(INDEX(AA:AA,MATCH(AA112,$S:$S,0)+5)+INDEX(AA:AA,MATCH(AA112,$S:$S,0)+6)+INDEX(AA:AA,MATCH(AA112,$S:$S,0)+7))</f>
        <v>198</v>
      </c>
      <c r="AB115" s="368"/>
      <c r="AC115" s="367">
        <f>ABS(INDEX(AC:AC,MATCH(AC112,$S:$S,0)+5)+INDEX(AC:AC,MATCH(AC112,$S:$S,0)+6)+INDEX(AC:AC,MATCH(AC112,$S:$S,0)+7))</f>
        <v>224</v>
      </c>
      <c r="AD115" s="368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12"/>
      <c r="BB115" s="213"/>
      <c r="BC115" s="214"/>
      <c r="BM115" s="216"/>
      <c r="BN115" s="214"/>
      <c r="BR115" s="214"/>
      <c r="BV115" s="214"/>
    </row>
    <row r="116" spans="1:74" ht="15.95" customHeight="1" x14ac:dyDescent="0.2">
      <c r="B116" s="371" t="str">
        <f t="shared" si="107"/>
        <v>Spieler 2</v>
      </c>
      <c r="C116" s="372" t="str">
        <f t="shared" si="108"/>
        <v/>
      </c>
      <c r="D116" s="344">
        <f>IF(U116=301,"",U116)</f>
        <v>132</v>
      </c>
      <c r="E116" s="344" t="str">
        <f>IF(V116=0,"",V116)</f>
        <v/>
      </c>
      <c r="F116" s="344">
        <f>IF(W116=301,"",W116)</f>
        <v>176</v>
      </c>
      <c r="G116" s="344" t="str">
        <f>IF(X116=0,"",X116)</f>
        <v/>
      </c>
      <c r="H116" s="344">
        <f>IF(Y116=301,"",Y116)</f>
        <v>164</v>
      </c>
      <c r="I116" s="344" t="str">
        <f>IF(Z116=0,"",Z116)</f>
        <v/>
      </c>
      <c r="J116" s="344">
        <f>IF(AA116=301,"",AA116)</f>
        <v>143</v>
      </c>
      <c r="K116" s="344" t="str">
        <f>IF(AB116=0,"",AB116)</f>
        <v/>
      </c>
      <c r="L116" s="344">
        <f>IF(AC116=301,"",AC116)</f>
        <v>183</v>
      </c>
      <c r="M116" s="344" t="str">
        <f>IF(AD116=0,"",AD116)</f>
        <v/>
      </c>
      <c r="N116" s="345"/>
      <c r="O116" s="345"/>
      <c r="S116" s="35" t="s">
        <v>2</v>
      </c>
      <c r="T116" s="36"/>
      <c r="U116" s="365">
        <f>ABS(INDEX(U:U,MATCH(U112,$S:$S,0)+8)+INDEX(U:U,MATCH(U112,$S:$S,0)+9)+INDEX(U:U,MATCH(U112,$S:$S,0)+10))</f>
        <v>132</v>
      </c>
      <c r="V116" s="366"/>
      <c r="W116" s="365">
        <f>ABS(INDEX(W:W,MATCH(W112,$S:$S,0)+8)+INDEX(W:W,MATCH(W112,$S:$S,0)+9)+INDEX(W:W,MATCH(W112,$S:$S,0)+10))</f>
        <v>176</v>
      </c>
      <c r="X116" s="366"/>
      <c r="Y116" s="365">
        <f>ABS(INDEX(Y:Y,MATCH(Y112,$S:$S,0)+8)+INDEX(Y:Y,MATCH(Y112,$S:$S,0)+9)+INDEX(Y:Y,MATCH(Y112,$S:$S,0)+10))</f>
        <v>164</v>
      </c>
      <c r="Z116" s="366"/>
      <c r="AA116" s="365">
        <f>ABS(INDEX(AA:AA,MATCH(AA112,$S:$S,0)+8)+INDEX(AA:AA,MATCH(AA112,$S:$S,0)+9)+INDEX(AA:AA,MATCH(AA112,$S:$S,0)+10))</f>
        <v>143</v>
      </c>
      <c r="AB116" s="366"/>
      <c r="AC116" s="365">
        <f>ABS(INDEX(AC:AC,MATCH(AC112,$S:$S,0)+8)+INDEX(AC:AC,MATCH(AC112,$S:$S,0)+9)+INDEX(AC:AC,MATCH(AC112,$S:$S,0)+10))</f>
        <v>183</v>
      </c>
      <c r="AD116" s="366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12"/>
      <c r="BB116" s="213"/>
      <c r="BC116" s="214"/>
      <c r="BM116" s="216"/>
      <c r="BN116" s="214"/>
      <c r="BR116" s="214"/>
      <c r="BV116" s="214"/>
    </row>
    <row r="117" spans="1:74" ht="15.95" customHeight="1" x14ac:dyDescent="0.2">
      <c r="B117" s="371" t="str">
        <f t="shared" si="107"/>
        <v>Spieler 3</v>
      </c>
      <c r="C117" s="372" t="str">
        <f t="shared" si="108"/>
        <v/>
      </c>
      <c r="D117" s="344">
        <f>IF(U117=301,"",U117)</f>
        <v>150</v>
      </c>
      <c r="E117" s="344" t="str">
        <f>IF(V117=0,"",V117)</f>
        <v/>
      </c>
      <c r="F117" s="344">
        <f>IF(W117=301,"",W117)</f>
        <v>192</v>
      </c>
      <c r="G117" s="344" t="str">
        <f>IF(X117=0,"",X117)</f>
        <v/>
      </c>
      <c r="H117" s="344">
        <f>IF(Y117=301,"",Y117)</f>
        <v>177</v>
      </c>
      <c r="I117" s="344" t="str">
        <f>IF(Z117=0,"",Z117)</f>
        <v/>
      </c>
      <c r="J117" s="344">
        <f>IF(AA117=301,"",AA117)</f>
        <v>195</v>
      </c>
      <c r="K117" s="344" t="str">
        <f>IF(AB117=0,"",AB117)</f>
        <v/>
      </c>
      <c r="L117" s="344">
        <f>IF(AC117=301,"",AC117)</f>
        <v>177</v>
      </c>
      <c r="M117" s="344" t="str">
        <f>IF(AD117=0,"",AD117)</f>
        <v/>
      </c>
      <c r="N117" s="345"/>
      <c r="O117" s="345"/>
      <c r="S117" s="35" t="s">
        <v>3</v>
      </c>
      <c r="T117" s="36"/>
      <c r="U117" s="365">
        <f>ABS(INDEX(U:U,MATCH(U112,$S:$S,0)+11)+INDEX(U:U,MATCH(U112,$S:$S,0)+12)+INDEX(U:U,MATCH(U112,$S:$S,0)+13))</f>
        <v>150</v>
      </c>
      <c r="V117" s="366"/>
      <c r="W117" s="365">
        <f>ABS(INDEX(W:W,MATCH(W112,$S:$S,0)+11)+INDEX(W:W,MATCH(W112,$S:$S,0)+12)+INDEX(W:W,MATCH(W112,$S:$S,0)+13))</f>
        <v>192</v>
      </c>
      <c r="X117" s="366"/>
      <c r="Y117" s="365">
        <f>ABS(INDEX(Y:Y,MATCH(Y112,$S:$S,0)+11)+INDEX(Y:Y,MATCH(Y112,$S:$S,0)+12)+INDEX(Y:Y,MATCH(Y112,$S:$S,0)+13))</f>
        <v>177</v>
      </c>
      <c r="Z117" s="366"/>
      <c r="AA117" s="365">
        <f>ABS(INDEX(AA:AA,MATCH(AA112,$S:$S,0)+11)+INDEX(AA:AA,MATCH(AA112,$S:$S,0)+12)+INDEX(AA:AA,MATCH(AA112,$S:$S,0)+13))</f>
        <v>195</v>
      </c>
      <c r="AB117" s="366"/>
      <c r="AC117" s="365">
        <f>ABS(INDEX(AC:AC,MATCH(AC112,$S:$S,0)+11)+INDEX(AC:AC,MATCH(AC112,$S:$S,0)+12)+INDEX(AC:AC,MATCH(AC112,$S:$S,0)+13))</f>
        <v>177</v>
      </c>
      <c r="AD117" s="366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12"/>
      <c r="BB117" s="213"/>
      <c r="BC117" s="214"/>
      <c r="BM117" s="216"/>
      <c r="BN117" s="214"/>
      <c r="BR117" s="214"/>
      <c r="BV117" s="214"/>
    </row>
    <row r="118" spans="1:74" ht="15.95" customHeight="1" x14ac:dyDescent="0.2">
      <c r="B118" s="371" t="str">
        <f t="shared" si="107"/>
        <v>Spieler 4</v>
      </c>
      <c r="C118" s="372" t="str">
        <f t="shared" si="108"/>
        <v/>
      </c>
      <c r="D118" s="344">
        <f>IF(U118=301,"",U118)</f>
        <v>188</v>
      </c>
      <c r="E118" s="344" t="str">
        <f>IF(V118=0,"",V118)</f>
        <v/>
      </c>
      <c r="F118" s="344">
        <f>IF(W118=301,"",W118)</f>
        <v>299</v>
      </c>
      <c r="G118" s="344" t="str">
        <f>IF(X118=0,"",X118)</f>
        <v/>
      </c>
      <c r="H118" s="344">
        <f>IF(Y118=301,"",Y118)</f>
        <v>189</v>
      </c>
      <c r="I118" s="344" t="str">
        <f>IF(Z118=0,"",Z118)</f>
        <v/>
      </c>
      <c r="J118" s="344">
        <f>IF(AA118=301,"",AA118)</f>
        <v>218</v>
      </c>
      <c r="K118" s="344" t="str">
        <f>IF(AB118=0,"",AB118)</f>
        <v/>
      </c>
      <c r="L118" s="344">
        <f>IF(AC118=301,"",AC118)</f>
        <v>190</v>
      </c>
      <c r="M118" s="344" t="str">
        <f>IF(AD118=0,"",AD118)</f>
        <v/>
      </c>
      <c r="N118" s="345"/>
      <c r="O118" s="345"/>
      <c r="S118" s="35" t="s">
        <v>11</v>
      </c>
      <c r="T118" s="36"/>
      <c r="U118" s="365">
        <f>ABS(INDEX(U:U,MATCH(U112,$S:$S,0)+14)+INDEX(U:U,MATCH(U112,$S:$S,0)+15)+INDEX(U:U,MATCH(U112,$S:$S,0)+16))</f>
        <v>188</v>
      </c>
      <c r="V118" s="366"/>
      <c r="W118" s="365">
        <f>ABS(INDEX(W:W,MATCH(W112,$S:$S,0)+14)+INDEX(W:W,MATCH(W112,$S:$S,0)+15)+INDEX(W:W,MATCH(W112,$S:$S,0)+16))</f>
        <v>299</v>
      </c>
      <c r="X118" s="366"/>
      <c r="Y118" s="365">
        <f>ABS(INDEX(Y:Y,MATCH(Y112,$S:$S,0)+14)+INDEX(Y:Y,MATCH(Y112,$S:$S,0)+15)+INDEX(Y:Y,MATCH(Y112,$S:$S,0)+16))</f>
        <v>189</v>
      </c>
      <c r="Z118" s="366"/>
      <c r="AA118" s="365">
        <f>ABS(INDEX(AA:AA,MATCH(AA112,$S:$S,0)+14)+INDEX(AA:AA,MATCH(AA112,$S:$S,0)+15)+INDEX(AA:AA,MATCH(AA112,$S:$S,0)+16))</f>
        <v>218</v>
      </c>
      <c r="AB118" s="366"/>
      <c r="AC118" s="365">
        <f>ABS(INDEX(AC:AC,MATCH(AC112,$S:$S,0)+14)+INDEX(AC:AC,MATCH(AC112,$S:$S,0)+15)+INDEX(AC:AC,MATCH(AC112,$S:$S,0)+16))</f>
        <v>190</v>
      </c>
      <c r="AD118" s="366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12"/>
      <c r="BB118" s="213"/>
      <c r="BC118" s="214"/>
      <c r="BM118" s="216"/>
      <c r="BN118" s="214"/>
      <c r="BR118" s="214"/>
      <c r="BV118" s="214"/>
    </row>
    <row r="119" spans="1:74" ht="15.95" customHeight="1" x14ac:dyDescent="0.2">
      <c r="B119" s="359" t="str">
        <f t="shared" si="107"/>
        <v>Gesamt</v>
      </c>
      <c r="C119" s="360" t="str">
        <f t="shared" si="108"/>
        <v/>
      </c>
      <c r="D119" s="343">
        <f>IF(U119=1505,"",U119)</f>
        <v>652</v>
      </c>
      <c r="E119" s="343" t="str">
        <f>IF(V119=0,"",V119)</f>
        <v/>
      </c>
      <c r="F119" s="343">
        <f>IF(W119=1505,"",W119)</f>
        <v>863</v>
      </c>
      <c r="G119" s="343" t="str">
        <f>IF(X119=0,"",X119)</f>
        <v/>
      </c>
      <c r="H119" s="343">
        <f>IF(Y119=1505,"",Y119)</f>
        <v>720</v>
      </c>
      <c r="I119" s="343" t="str">
        <f>IF(Z119=0,"",Z119)</f>
        <v/>
      </c>
      <c r="J119" s="343">
        <f>IF(AA119=1505,"",AA119)</f>
        <v>754</v>
      </c>
      <c r="K119" s="343" t="str">
        <f>IF(AB119=0,"",AB119)</f>
        <v/>
      </c>
      <c r="L119" s="343">
        <f>IF(AC119=1505,"",AC119)</f>
        <v>774</v>
      </c>
      <c r="M119" s="343" t="str">
        <f>IF(AD119=0,"",AD119)</f>
        <v/>
      </c>
      <c r="N119" s="298"/>
      <c r="O119" s="298"/>
      <c r="S119" s="37" t="s">
        <v>1791</v>
      </c>
      <c r="T119" s="38"/>
      <c r="U119" s="359">
        <f>SUM(U115:U118)</f>
        <v>652</v>
      </c>
      <c r="V119" s="360"/>
      <c r="W119" s="359">
        <f>SUM(W115:W118)</f>
        <v>863</v>
      </c>
      <c r="X119" s="360"/>
      <c r="Y119" s="359">
        <f>SUM(Y115:Y118)</f>
        <v>720</v>
      </c>
      <c r="Z119" s="360"/>
      <c r="AA119" s="359">
        <f>SUM(AA115:AA118)</f>
        <v>754</v>
      </c>
      <c r="AB119" s="360"/>
      <c r="AC119" s="359">
        <f>SUM(AC115:AC118)</f>
        <v>774</v>
      </c>
      <c r="AD119" s="360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12"/>
      <c r="BB119" s="213"/>
      <c r="BC119" s="214"/>
      <c r="BM119" s="216"/>
      <c r="BN119" s="214"/>
      <c r="BR119" s="214"/>
      <c r="BV119" s="214"/>
    </row>
    <row r="120" spans="1:74" ht="10.5" customHeight="1" x14ac:dyDescent="0.2">
      <c r="B120" s="3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S120" s="3"/>
      <c r="T120" s="1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12"/>
      <c r="BB120" s="213"/>
      <c r="BC120" s="214"/>
      <c r="BM120" s="216"/>
      <c r="BN120" s="214"/>
      <c r="BR120" s="214"/>
      <c r="BV120" s="214"/>
    </row>
    <row r="121" spans="1:74" ht="21" customHeight="1" x14ac:dyDescent="0.35">
      <c r="B121" s="7" t="str">
        <f>S121</f>
        <v>Team-Nr.</v>
      </c>
      <c r="C121" s="25"/>
      <c r="D121" s="7" t="str">
        <f>U121</f>
        <v>Liga:</v>
      </c>
      <c r="E121" s="77" t="str">
        <f>V121</f>
        <v>Bezirksliga N1 Männer</v>
      </c>
      <c r="F121" s="25"/>
      <c r="G121" s="25"/>
      <c r="H121" s="25"/>
      <c r="I121" s="25"/>
      <c r="J121" s="25"/>
      <c r="K121" s="25"/>
      <c r="L121" s="25"/>
      <c r="M121" s="376" t="str">
        <f>AD121</f>
        <v>13.10.</v>
      </c>
      <c r="N121" s="376"/>
      <c r="O121" s="376"/>
      <c r="P121" s="377"/>
      <c r="Q121" s="377"/>
      <c r="R121" s="377"/>
      <c r="S121" s="7" t="s">
        <v>1801</v>
      </c>
      <c r="T121" s="25"/>
      <c r="U121" s="30" t="s">
        <v>1785</v>
      </c>
      <c r="V121" s="77" t="str">
        <f>Schlüssel!$C$1</f>
        <v>Bezirksliga N1 Männer</v>
      </c>
      <c r="X121" s="25"/>
      <c r="Y121" s="25"/>
      <c r="Z121" s="25"/>
      <c r="AA121" s="25"/>
      <c r="AC121" s="29"/>
      <c r="AD121" s="358" t="str">
        <f>Schlüssel!$M$1</f>
        <v>13.10.</v>
      </c>
      <c r="AE121" s="358"/>
      <c r="AF121" s="358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212" t="s">
        <v>2078</v>
      </c>
      <c r="BB121" s="213" t="s">
        <v>1799</v>
      </c>
      <c r="BC121" s="214" t="s">
        <v>1823</v>
      </c>
      <c r="BD121" s="215" t="s">
        <v>1814</v>
      </c>
      <c r="BE121" s="215" t="s">
        <v>1799</v>
      </c>
      <c r="BF121" s="215" t="s">
        <v>1819</v>
      </c>
      <c r="BG121" s="215" t="s">
        <v>1815</v>
      </c>
      <c r="BH121" s="215" t="s">
        <v>2079</v>
      </c>
      <c r="BI121" s="215" t="s">
        <v>2080</v>
      </c>
      <c r="BJ121" s="215" t="s">
        <v>2081</v>
      </c>
      <c r="BK121" s="215" t="s">
        <v>2082</v>
      </c>
      <c r="BL121" s="215" t="s">
        <v>2083</v>
      </c>
      <c r="BM121" s="216" t="s">
        <v>2084</v>
      </c>
      <c r="BN121" s="214" t="s">
        <v>1820</v>
      </c>
      <c r="BO121" s="215" t="s">
        <v>2085</v>
      </c>
      <c r="BP121" s="215" t="s">
        <v>2086</v>
      </c>
      <c r="BQ121" s="215" t="s">
        <v>1823</v>
      </c>
      <c r="BR121" s="214" t="s">
        <v>1820</v>
      </c>
      <c r="BS121" s="216" t="s">
        <v>2087</v>
      </c>
      <c r="BT121" s="215" t="s">
        <v>2088</v>
      </c>
      <c r="BU121" s="215" t="s">
        <v>2089</v>
      </c>
      <c r="BV121" s="214" t="s">
        <v>1820</v>
      </c>
    </row>
    <row r="122" spans="1:74" ht="17.25" customHeight="1" thickBot="1" x14ac:dyDescent="0.3">
      <c r="B122" s="50">
        <f>S122</f>
        <v>5</v>
      </c>
      <c r="D122" s="30" t="str">
        <f>U122</f>
        <v>Ort:</v>
      </c>
      <c r="E122" s="84" t="str">
        <f>V122</f>
        <v>Nürnberg West Bowling</v>
      </c>
      <c r="F122" s="77"/>
      <c r="G122" s="77"/>
      <c r="H122" s="77"/>
      <c r="I122" s="77"/>
      <c r="J122" s="77"/>
      <c r="K122" s="77"/>
      <c r="L122" s="29" t="str">
        <f>AC122</f>
        <v>Spieltag:</v>
      </c>
      <c r="M122" s="86">
        <f>AD122</f>
        <v>1</v>
      </c>
      <c r="N122" s="28"/>
      <c r="R122" s="49"/>
      <c r="S122" s="50">
        <v>5</v>
      </c>
      <c r="U122" s="30" t="s">
        <v>1786</v>
      </c>
      <c r="V122" s="84" t="str">
        <f>Schlüssel!$C$2</f>
        <v>Nürnberg West Bowling</v>
      </c>
      <c r="X122" s="77"/>
      <c r="Y122" s="77"/>
      <c r="Z122" s="77"/>
      <c r="AA122" s="77"/>
      <c r="AB122" s="77"/>
      <c r="AC122" s="29" t="s">
        <v>1784</v>
      </c>
      <c r="AD122" s="34">
        <v>1</v>
      </c>
      <c r="AE122" s="28"/>
      <c r="BA122" s="212"/>
      <c r="BB122" s="213"/>
      <c r="BC122" s="214"/>
      <c r="BM122" s="216"/>
      <c r="BN122" s="214"/>
      <c r="BR122" s="214"/>
      <c r="BS122" s="216"/>
      <c r="BV122" s="214"/>
    </row>
    <row r="123" spans="1:74" ht="15.75" customHeight="1" thickBot="1" x14ac:dyDescent="0.25">
      <c r="B123" s="32" t="str">
        <f>VLOOKUP(B122,Schlüssel!$A$5:$B$10,2)</f>
        <v>Castra Regina Regensburg 2</v>
      </c>
      <c r="C123" s="31"/>
      <c r="D123" s="42"/>
      <c r="E123" s="46"/>
      <c r="F123" s="48"/>
      <c r="G123" s="27"/>
      <c r="H123" s="27"/>
      <c r="I123" s="27"/>
      <c r="J123" s="27"/>
      <c r="K123" s="27"/>
      <c r="L123" s="27"/>
      <c r="M123" s="85"/>
      <c r="S123" s="32" t="str">
        <f>VLOOKUP(S122,Schlüssel!$A$5:$B$10,2)</f>
        <v>Castra Regina Regensburg 2</v>
      </c>
      <c r="T123" s="31"/>
      <c r="U123" s="31"/>
      <c r="V123" s="190"/>
      <c r="W123" s="61"/>
      <c r="BA123" s="212"/>
      <c r="BB123" s="213"/>
      <c r="BC123" s="214"/>
      <c r="BM123" s="216"/>
      <c r="BN123" s="214"/>
      <c r="BR123" s="214"/>
      <c r="BS123" s="216"/>
      <c r="BV123" s="214"/>
    </row>
    <row r="124" spans="1:74" ht="13.5" thickBot="1" x14ac:dyDescent="0.25">
      <c r="A124" s="33"/>
      <c r="B124" s="7"/>
      <c r="C124" s="39"/>
      <c r="D124" s="43" t="s">
        <v>10</v>
      </c>
      <c r="E124" s="7">
        <f>VLOOKUP($B$2,Schlüssel!$A$5:$DZ$10,13)</f>
        <v>1</v>
      </c>
      <c r="F124" s="47" t="s">
        <v>10</v>
      </c>
      <c r="G124" s="7">
        <f>VLOOKUP($B$2,Schlüssel!$A$5:$DZ$10,14)</f>
        <v>3</v>
      </c>
      <c r="H124" s="47" t="s">
        <v>10</v>
      </c>
      <c r="I124" s="7">
        <f>VLOOKUP($B$2,Schlüssel!$A$5:$DZ$10,15)</f>
        <v>2</v>
      </c>
      <c r="J124" s="47" t="s">
        <v>10</v>
      </c>
      <c r="K124" s="7">
        <f>VLOOKUP($B$2,Schlüssel!$A$5:$DZ$10,16)</f>
        <v>4</v>
      </c>
      <c r="L124" s="47" t="s">
        <v>10</v>
      </c>
      <c r="M124" s="7">
        <f>VLOOKUP($B$2,Schlüssel!$A$5:$DZ$10,17)</f>
        <v>1</v>
      </c>
      <c r="R124" s="6"/>
      <c r="S124" s="7"/>
      <c r="T124" s="39"/>
      <c r="U124" s="194" t="s">
        <v>10</v>
      </c>
      <c r="V124" s="191">
        <f>VLOOKUP($S122,Schlüssel!$A$5:$DZ$10,13)</f>
        <v>5</v>
      </c>
      <c r="W124" s="193" t="s">
        <v>10</v>
      </c>
      <c r="X124" s="191">
        <f>VLOOKUP($S122,Schlüssel!$A$5:$DZ$10,14)</f>
        <v>1</v>
      </c>
      <c r="Y124" s="193" t="s">
        <v>10</v>
      </c>
      <c r="Z124" s="191">
        <f>VLOOKUP($S122,Schlüssel!$A$5:$DZ$10,15)</f>
        <v>4</v>
      </c>
      <c r="AA124" s="193" t="s">
        <v>10</v>
      </c>
      <c r="AB124" s="191">
        <f>VLOOKUP($S122,Schlüssel!$A$5:$DZ$10,16)</f>
        <v>6</v>
      </c>
      <c r="AC124" s="193" t="s">
        <v>10</v>
      </c>
      <c r="AD124" s="192">
        <f>VLOOKUP($S122,Schlüssel!$A$5:$DZ$10,17)</f>
        <v>2</v>
      </c>
      <c r="BA124" s="212"/>
      <c r="BB124" s="213"/>
      <c r="BC124" s="214"/>
      <c r="BM124" s="216"/>
      <c r="BN124" s="214"/>
      <c r="BR124" s="214"/>
      <c r="BS124" s="216"/>
      <c r="BV124" s="214"/>
    </row>
    <row r="125" spans="1:74" ht="20.25" customHeight="1" x14ac:dyDescent="0.2">
      <c r="B125" s="40" t="s">
        <v>1</v>
      </c>
      <c r="C125" s="41"/>
      <c r="D125" s="359" t="s">
        <v>1792</v>
      </c>
      <c r="E125" s="360"/>
      <c r="F125" s="359" t="s">
        <v>1793</v>
      </c>
      <c r="G125" s="360"/>
      <c r="H125" s="359" t="s">
        <v>1794</v>
      </c>
      <c r="I125" s="360"/>
      <c r="J125" s="359" t="s">
        <v>1795</v>
      </c>
      <c r="K125" s="360"/>
      <c r="L125" s="359" t="s">
        <v>1796</v>
      </c>
      <c r="M125" s="360"/>
      <c r="N125" s="361" t="s">
        <v>1791</v>
      </c>
      <c r="O125" s="362"/>
      <c r="S125" s="40" t="s">
        <v>1</v>
      </c>
      <c r="T125" s="41"/>
      <c r="U125" s="359" t="s">
        <v>1792</v>
      </c>
      <c r="V125" s="360"/>
      <c r="W125" s="359" t="s">
        <v>1793</v>
      </c>
      <c r="X125" s="360"/>
      <c r="Y125" s="359" t="s">
        <v>1794</v>
      </c>
      <c r="Z125" s="360"/>
      <c r="AA125" s="359" t="s">
        <v>1795</v>
      </c>
      <c r="AB125" s="360"/>
      <c r="AC125" s="359" t="s">
        <v>1796</v>
      </c>
      <c r="AD125" s="363"/>
      <c r="AE125" s="364" t="s">
        <v>1791</v>
      </c>
      <c r="AF125" s="36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12"/>
      <c r="BB125" s="213"/>
      <c r="BC125" s="214"/>
      <c r="BM125" s="216"/>
      <c r="BN125" s="214"/>
      <c r="BR125" s="214"/>
      <c r="BV125" s="214"/>
    </row>
    <row r="126" spans="1:74" ht="15" customHeight="1" thickBot="1" x14ac:dyDescent="0.25">
      <c r="B126" s="9" t="s">
        <v>1797</v>
      </c>
      <c r="C126" s="44" t="s">
        <v>1798</v>
      </c>
      <c r="D126" s="45" t="s">
        <v>1799</v>
      </c>
      <c r="E126" s="45" t="s">
        <v>1800</v>
      </c>
      <c r="F126" s="45" t="s">
        <v>1799</v>
      </c>
      <c r="G126" s="45" t="s">
        <v>1800</v>
      </c>
      <c r="H126" s="45" t="s">
        <v>1799</v>
      </c>
      <c r="I126" s="45" t="s">
        <v>1800</v>
      </c>
      <c r="J126" s="45" t="s">
        <v>1799</v>
      </c>
      <c r="K126" s="45" t="s">
        <v>1800</v>
      </c>
      <c r="L126" s="45" t="s">
        <v>1799</v>
      </c>
      <c r="M126" s="45" t="s">
        <v>1800</v>
      </c>
      <c r="N126" s="45" t="s">
        <v>1799</v>
      </c>
      <c r="O126" s="10" t="s">
        <v>1800</v>
      </c>
      <c r="S126" s="9" t="s">
        <v>1797</v>
      </c>
      <c r="T126" s="44" t="s">
        <v>1798</v>
      </c>
      <c r="U126" s="45" t="s">
        <v>1799</v>
      </c>
      <c r="V126" s="45" t="s">
        <v>1800</v>
      </c>
      <c r="W126" s="45" t="s">
        <v>1799</v>
      </c>
      <c r="X126" s="45" t="s">
        <v>1800</v>
      </c>
      <c r="Y126" s="45" t="s">
        <v>1799</v>
      </c>
      <c r="Z126" s="45" t="s">
        <v>1800</v>
      </c>
      <c r="AA126" s="45" t="s">
        <v>1799</v>
      </c>
      <c r="AB126" s="45" t="s">
        <v>1800</v>
      </c>
      <c r="AC126" s="45" t="s">
        <v>1799</v>
      </c>
      <c r="AD126" s="45" t="s">
        <v>1800</v>
      </c>
      <c r="AE126" s="9" t="s">
        <v>1799</v>
      </c>
      <c r="AF126" s="10" t="s">
        <v>1800</v>
      </c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212"/>
      <c r="BB126" s="213"/>
      <c r="BC126" s="214"/>
      <c r="BM126" s="216"/>
      <c r="BN126" s="214"/>
      <c r="BR126" s="214"/>
      <c r="BV126" s="214"/>
    </row>
    <row r="127" spans="1:74" ht="17.100000000000001" customHeight="1" x14ac:dyDescent="0.2">
      <c r="A127" s="373" t="s">
        <v>0</v>
      </c>
      <c r="B127" s="17" t="str">
        <f>IF(S127=0,"",S127)</f>
        <v>Simon, Steven</v>
      </c>
      <c r="C127" s="18">
        <f>IF(T127=0,"",T127)</f>
        <v>38571</v>
      </c>
      <c r="D127" s="14">
        <f>IF(U127=0,"",U127)</f>
        <v>247</v>
      </c>
      <c r="E127" s="352">
        <f>IF(V127="","",V127)</f>
        <v>1</v>
      </c>
      <c r="F127" s="14">
        <f t="shared" ref="F127:F140" si="110">IF(W127=0,"",W127)</f>
        <v>196</v>
      </c>
      <c r="G127" s="352">
        <f>IF(X127="","",X127)</f>
        <v>1</v>
      </c>
      <c r="H127" s="14">
        <f t="shared" ref="H127:H140" si="111">IF(Y127=0,"",Y127)</f>
        <v>145</v>
      </c>
      <c r="I127" s="352">
        <f>IF(Z127="","",Z127)</f>
        <v>0</v>
      </c>
      <c r="J127" s="14">
        <f t="shared" ref="J127:J140" si="112">IF(AA127=0,"",AA127)</f>
        <v>213</v>
      </c>
      <c r="K127" s="352">
        <f>IF(AB127="","",AB127)</f>
        <v>1</v>
      </c>
      <c r="L127" s="14">
        <f t="shared" ref="L127:L140" si="113">IF(AC127=0,"",AC127)</f>
        <v>175</v>
      </c>
      <c r="M127" s="352">
        <f>IF(AD127="","",AD127)</f>
        <v>0</v>
      </c>
      <c r="N127" s="14">
        <f t="shared" ref="N127:N140" si="114">IF(AE127=0,"",AE127)</f>
        <v>976</v>
      </c>
      <c r="O127" s="352">
        <f>IF(AF127="","",AF127)</f>
        <v>3</v>
      </c>
      <c r="R127" s="355" t="s">
        <v>0</v>
      </c>
      <c r="S127" s="68" t="str">
        <f>IF(T127=0,"",VLOOKUP(T127,Starter!$A$1:$D$196,2,FALSE))</f>
        <v>Simon, Steven</v>
      </c>
      <c r="T127" s="175">
        <v>38571</v>
      </c>
      <c r="U127" s="183">
        <v>247</v>
      </c>
      <c r="V127" s="95">
        <f>IF(SUM(U127:U129)+U145=0,0,IF(ABS(SUM(U127:U129))=U145,0.5,IF(ABS(SUM(U127:U129))&gt;U145,1,0)))</f>
        <v>1</v>
      </c>
      <c r="W127" s="183">
        <v>196</v>
      </c>
      <c r="X127" s="95">
        <f>IF(SUM(W127:W129)+W145=0,0,IF(ABS(SUM(W127:W129))=W145,0.5,IF(ABS(SUM(W127:W129))&gt;W145,1,0)))</f>
        <v>1</v>
      </c>
      <c r="Y127" s="183">
        <v>145</v>
      </c>
      <c r="Z127" s="95">
        <f>IF(SUM(Y127:Y129)+Y145=0,0,IF(ABS(SUM(Y127:Y129))=Y145,0.5,IF(ABS(SUM(Y127:Y129))&gt;Y145,1,0)))</f>
        <v>0</v>
      </c>
      <c r="AA127" s="189">
        <v>213</v>
      </c>
      <c r="AB127" s="95">
        <f>IF(SUM(AA127:AA129)+AA145=0,0,IF(ABS(SUM(AA127:AA129))=AA145,0.5,IF(ABS(SUM(AA127:AA129))&gt;AA145,1,0)))</f>
        <v>1</v>
      </c>
      <c r="AC127" s="183">
        <v>175</v>
      </c>
      <c r="AD127" s="95">
        <f>IF(SUM(AC127:AC129)+AC145=0,0,IF(ABS(SUM(AC127:AC129))=AC145,0.5,IF(ABS(SUM(AC127:AC129))&gt;AC145,1,0)))</f>
        <v>0</v>
      </c>
      <c r="AE127" s="195">
        <f t="shared" ref="AE127:AE138" si="115">ABS(SUM(U127:U127))+ABS(SUM(W127:W127))+ABS(SUM(Y127:Y127))+ABS(SUM(AA127:AA127))+ABS(SUM(AC127:AC127))</f>
        <v>976</v>
      </c>
      <c r="AF127" s="180">
        <f>SUM(V127+X127+Z127+AB127+AD127)</f>
        <v>3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212"/>
      <c r="BB127" s="213"/>
      <c r="BC127" s="214"/>
      <c r="BD127" s="217">
        <f t="shared" ref="BD127:BD138" si="116">T127</f>
        <v>38571</v>
      </c>
      <c r="BE127" s="213">
        <f t="shared" ref="BE127:BE138" si="117">AE127</f>
        <v>976</v>
      </c>
      <c r="BF127" s="215">
        <f t="shared" ref="BF127:BF138" si="118">COUNT(BH127:BL127)</f>
        <v>5</v>
      </c>
      <c r="BG127" s="215">
        <f t="shared" ref="BG127:BG138" si="119">COUNTIF(BH127:BL127,"&gt;0")</f>
        <v>5</v>
      </c>
      <c r="BH127" s="215">
        <f t="shared" ref="BH127:BH138" si="120">IF(U127=0,"",U127)</f>
        <v>247</v>
      </c>
      <c r="BI127" s="215">
        <f t="shared" ref="BI127:BI138" si="121">IF(W127=0,"",W127)</f>
        <v>196</v>
      </c>
      <c r="BJ127" s="215">
        <f t="shared" ref="BJ127:BJ138" si="122">IF(Y127=0,"",Y127)</f>
        <v>145</v>
      </c>
      <c r="BK127" s="215">
        <f t="shared" ref="BK127:BK138" si="123">IF(AA127=0,"",AA127)</f>
        <v>213</v>
      </c>
      <c r="BL127" s="215">
        <f t="shared" ref="BL127:BL138" si="124">IF(AC127=0,"",AC127)</f>
        <v>175</v>
      </c>
      <c r="BM127" s="216"/>
      <c r="BN127" s="214"/>
      <c r="BO127" s="215">
        <f t="shared" ref="BO127:BO138" si="125">MAX(BH127:BL127)</f>
        <v>247</v>
      </c>
      <c r="BP127" s="215">
        <f t="shared" ref="BP127:BP138" si="126">IF(BO127&lt;MAX(BO:BO),0,BO127+ROW()/1000000000)</f>
        <v>0</v>
      </c>
      <c r="BQ127" s="215" t="str">
        <f>+S123</f>
        <v>Castra Regina Regensburg 2</v>
      </c>
      <c r="BR127" s="214">
        <f t="shared" ref="BR127:BR138" si="127">RANK(BP127,BP:BP)</f>
        <v>2</v>
      </c>
      <c r="BS127" s="215">
        <f t="shared" ref="BS127:BS138" si="128">SUMIF(BH127:BL127,"&gt;0")</f>
        <v>976</v>
      </c>
      <c r="BT127" s="215">
        <f>IF(COUNTIF(BH127:BL127,"&gt;0")&lt;Spielorte!$A$23,0,BE127/Spielorte!$A$23)</f>
        <v>195.2</v>
      </c>
      <c r="BU127" s="215">
        <f t="shared" ref="BU127:BU138" si="129">IF(BT127&lt;MAX(BT:BT),0,BT127+ROW()/1000000000)</f>
        <v>0</v>
      </c>
      <c r="BV127" s="214">
        <f t="shared" ref="BV127:BV138" si="130">IF(BU127=0,0,RANK(BU127,BU:BU))</f>
        <v>0</v>
      </c>
    </row>
    <row r="128" spans="1:74" ht="17.100000000000001" customHeight="1" x14ac:dyDescent="0.2">
      <c r="A128" s="374"/>
      <c r="B128" s="19" t="str">
        <f t="shared" ref="B128:B135" si="131">IF(S128=0,"",S128)</f>
        <v/>
      </c>
      <c r="C128" s="20" t="str">
        <f t="shared" ref="C128:C140" si="132">IF(T128=0,"",T128)</f>
        <v/>
      </c>
      <c r="D128" s="15" t="str">
        <f t="shared" ref="D128:D140" si="133">IF(U128=0,"",U128)</f>
        <v/>
      </c>
      <c r="E128" s="353"/>
      <c r="F128" s="15" t="str">
        <f t="shared" si="110"/>
        <v/>
      </c>
      <c r="G128" s="353"/>
      <c r="H128" s="15" t="str">
        <f t="shared" si="111"/>
        <v/>
      </c>
      <c r="I128" s="353"/>
      <c r="J128" s="15" t="str">
        <f t="shared" si="112"/>
        <v/>
      </c>
      <c r="K128" s="353"/>
      <c r="L128" s="15" t="str">
        <f t="shared" si="113"/>
        <v/>
      </c>
      <c r="M128" s="353"/>
      <c r="N128" s="15" t="str">
        <f t="shared" si="114"/>
        <v/>
      </c>
      <c r="O128" s="353"/>
      <c r="R128" s="356"/>
      <c r="S128" s="68" t="str">
        <f>IF(T128=0,"",VLOOKUP(T128,Starter!$A$1:$D$196,2,FALSE))</f>
        <v/>
      </c>
      <c r="T128" s="176"/>
      <c r="U128" s="184"/>
      <c r="V128" s="96"/>
      <c r="W128" s="184"/>
      <c r="X128" s="96"/>
      <c r="Y128" s="184"/>
      <c r="Z128" s="96"/>
      <c r="AA128" s="184"/>
      <c r="AB128" s="96"/>
      <c r="AC128" s="184"/>
      <c r="AD128" s="96"/>
      <c r="AE128" s="196">
        <f t="shared" si="115"/>
        <v>0</v>
      </c>
      <c r="AF128" s="181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212"/>
      <c r="BB128" s="213"/>
      <c r="BC128" s="214"/>
      <c r="BD128" s="217">
        <f t="shared" si="116"/>
        <v>0</v>
      </c>
      <c r="BE128" s="213">
        <f t="shared" si="117"/>
        <v>0</v>
      </c>
      <c r="BF128" s="215">
        <f t="shared" si="118"/>
        <v>0</v>
      </c>
      <c r="BG128" s="215">
        <f t="shared" si="119"/>
        <v>0</v>
      </c>
      <c r="BH128" s="215" t="str">
        <f t="shared" si="120"/>
        <v/>
      </c>
      <c r="BI128" s="215" t="str">
        <f t="shared" si="121"/>
        <v/>
      </c>
      <c r="BJ128" s="215" t="str">
        <f t="shared" si="122"/>
        <v/>
      </c>
      <c r="BK128" s="215" t="str">
        <f t="shared" si="123"/>
        <v/>
      </c>
      <c r="BL128" s="215" t="str">
        <f t="shared" si="124"/>
        <v/>
      </c>
      <c r="BM128" s="216"/>
      <c r="BN128" s="214"/>
      <c r="BO128" s="215">
        <f t="shared" si="125"/>
        <v>0</v>
      </c>
      <c r="BP128" s="215">
        <f t="shared" si="126"/>
        <v>0</v>
      </c>
      <c r="BQ128" s="215" t="str">
        <f t="shared" ref="BQ128:BQ138" si="134">+BQ127</f>
        <v>Castra Regina Regensburg 2</v>
      </c>
      <c r="BR128" s="214">
        <f t="shared" si="127"/>
        <v>2</v>
      </c>
      <c r="BS128" s="215">
        <f t="shared" si="128"/>
        <v>0</v>
      </c>
      <c r="BT128" s="215">
        <f>IF(COUNTIF(BH128:BL128,"&gt;0")&lt;Spielorte!$A$23,0,BE128/Spielorte!$A$23)</f>
        <v>0</v>
      </c>
      <c r="BU128" s="215">
        <f t="shared" si="129"/>
        <v>0</v>
      </c>
      <c r="BV128" s="214">
        <f t="shared" si="130"/>
        <v>0</v>
      </c>
    </row>
    <row r="129" spans="1:74" ht="17.100000000000001" customHeight="1" thickBot="1" x14ac:dyDescent="0.25">
      <c r="A129" s="375"/>
      <c r="B129" s="21" t="str">
        <f t="shared" si="131"/>
        <v/>
      </c>
      <c r="C129" s="22" t="str">
        <f t="shared" si="132"/>
        <v/>
      </c>
      <c r="D129" s="9" t="str">
        <f t="shared" si="133"/>
        <v/>
      </c>
      <c r="E129" s="354"/>
      <c r="F129" s="9" t="str">
        <f t="shared" si="110"/>
        <v/>
      </c>
      <c r="G129" s="354"/>
      <c r="H129" s="9" t="str">
        <f t="shared" si="111"/>
        <v/>
      </c>
      <c r="I129" s="354"/>
      <c r="J129" s="9" t="str">
        <f t="shared" si="112"/>
        <v/>
      </c>
      <c r="K129" s="354"/>
      <c r="L129" s="9" t="str">
        <f t="shared" si="113"/>
        <v/>
      </c>
      <c r="M129" s="354"/>
      <c r="N129" s="9" t="str">
        <f t="shared" si="114"/>
        <v/>
      </c>
      <c r="O129" s="354"/>
      <c r="R129" s="357"/>
      <c r="S129" s="69" t="str">
        <f>IF(T129=0,"",VLOOKUP(T129,Starter!$A$1:$D$196,2,FALSE))</f>
        <v/>
      </c>
      <c r="T129" s="177"/>
      <c r="U129" s="185"/>
      <c r="V129" s="96"/>
      <c r="W129" s="185"/>
      <c r="X129" s="96"/>
      <c r="Y129" s="185"/>
      <c r="Z129" s="96"/>
      <c r="AA129" s="185"/>
      <c r="AB129" s="96"/>
      <c r="AC129" s="185"/>
      <c r="AD129" s="96"/>
      <c r="AE129" s="197">
        <f t="shared" si="115"/>
        <v>0</v>
      </c>
      <c r="AF129" s="182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212"/>
      <c r="BB129" s="213"/>
      <c r="BC129" s="214"/>
      <c r="BD129" s="217">
        <f t="shared" si="116"/>
        <v>0</v>
      </c>
      <c r="BE129" s="213">
        <f t="shared" si="117"/>
        <v>0</v>
      </c>
      <c r="BF129" s="215">
        <f t="shared" si="118"/>
        <v>0</v>
      </c>
      <c r="BG129" s="215">
        <f t="shared" si="119"/>
        <v>0</v>
      </c>
      <c r="BH129" s="215" t="str">
        <f t="shared" si="120"/>
        <v/>
      </c>
      <c r="BI129" s="215" t="str">
        <f t="shared" si="121"/>
        <v/>
      </c>
      <c r="BJ129" s="215" t="str">
        <f t="shared" si="122"/>
        <v/>
      </c>
      <c r="BK129" s="215" t="str">
        <f t="shared" si="123"/>
        <v/>
      </c>
      <c r="BL129" s="215" t="str">
        <f t="shared" si="124"/>
        <v/>
      </c>
      <c r="BM129" s="216"/>
      <c r="BN129" s="214"/>
      <c r="BO129" s="215">
        <f t="shared" si="125"/>
        <v>0</v>
      </c>
      <c r="BP129" s="215">
        <f t="shared" si="126"/>
        <v>0</v>
      </c>
      <c r="BQ129" s="215" t="str">
        <f t="shared" si="134"/>
        <v>Castra Regina Regensburg 2</v>
      </c>
      <c r="BR129" s="214">
        <f t="shared" si="127"/>
        <v>2</v>
      </c>
      <c r="BS129" s="215">
        <f t="shared" si="128"/>
        <v>0</v>
      </c>
      <c r="BT129" s="215">
        <f>IF(COUNTIF(BH129:BL129,"&gt;0")&lt;Spielorte!$A$23,0,BE129/Spielorte!$A$23)</f>
        <v>0</v>
      </c>
      <c r="BU129" s="215">
        <f t="shared" si="129"/>
        <v>0</v>
      </c>
      <c r="BV129" s="214">
        <f t="shared" si="130"/>
        <v>0</v>
      </c>
    </row>
    <row r="130" spans="1:74" ht="17.100000000000001" customHeight="1" x14ac:dyDescent="0.2">
      <c r="A130" s="373" t="s">
        <v>2</v>
      </c>
      <c r="B130" s="17" t="str">
        <f t="shared" si="131"/>
        <v>Gilch, Stefan</v>
      </c>
      <c r="C130" s="18">
        <f t="shared" si="132"/>
        <v>25895</v>
      </c>
      <c r="D130" s="14">
        <f t="shared" si="133"/>
        <v>185</v>
      </c>
      <c r="E130" s="352">
        <f>IF(V130="","",V130)</f>
        <v>1</v>
      </c>
      <c r="F130" s="14">
        <f t="shared" si="110"/>
        <v>176</v>
      </c>
      <c r="G130" s="352">
        <f>IF(X130="","",X130)</f>
        <v>1</v>
      </c>
      <c r="H130" s="14">
        <f t="shared" si="111"/>
        <v>196</v>
      </c>
      <c r="I130" s="352">
        <f>IF(Z130="","",Z130)</f>
        <v>1</v>
      </c>
      <c r="J130" s="14">
        <f t="shared" si="112"/>
        <v>183</v>
      </c>
      <c r="K130" s="352">
        <f>IF(AB130="","",AB130)</f>
        <v>1</v>
      </c>
      <c r="L130" s="14">
        <f t="shared" si="113"/>
        <v>192</v>
      </c>
      <c r="M130" s="352">
        <f>IF(AD130="","",AD130)</f>
        <v>1</v>
      </c>
      <c r="N130" s="14">
        <f t="shared" si="114"/>
        <v>932</v>
      </c>
      <c r="O130" s="352">
        <f>IF(AF130="","",AF130)</f>
        <v>5</v>
      </c>
      <c r="R130" s="355" t="s">
        <v>2</v>
      </c>
      <c r="S130" s="68" t="str">
        <f>IF(T130=0,"",VLOOKUP(T130,Starter!$A$1:$D$196,2,FALSE))</f>
        <v>Gilch, Stefan</v>
      </c>
      <c r="T130" s="178">
        <v>25895</v>
      </c>
      <c r="U130" s="186">
        <v>185</v>
      </c>
      <c r="V130" s="95">
        <f>IF(SUM(U130:U132)+U146=0,0,IF(ABS(SUM(U130:U132))=U146,0.5,IF(ABS(SUM(U130:U132))&gt;U146,1,0)))</f>
        <v>1</v>
      </c>
      <c r="W130" s="186">
        <v>176</v>
      </c>
      <c r="X130" s="95">
        <f>IF(SUM(W130:W132)+W146=0,0,IF(ABS(SUM(W130:W132))=W146,0.5,IF(ABS(SUM(W130:W132))&gt;W146,1,0)))</f>
        <v>1</v>
      </c>
      <c r="Y130" s="186">
        <v>196</v>
      </c>
      <c r="Z130" s="95">
        <f>IF(SUM(Y130:Y132)+Y146=0,0,IF(ABS(SUM(Y130:Y132))=Y146,0.5,IF(ABS(SUM(Y130:Y132))&gt;Y146,1,0)))</f>
        <v>1</v>
      </c>
      <c r="AA130" s="186">
        <v>183</v>
      </c>
      <c r="AB130" s="95">
        <f>IF(SUM(AA130:AA132)+AA146=0,0,IF(ABS(SUM(AA130:AA132))=AA146,0.5,IF(ABS(SUM(AA130:AA132))&gt;AA146,1,0)))</f>
        <v>1</v>
      </c>
      <c r="AC130" s="186">
        <v>192</v>
      </c>
      <c r="AD130" s="95">
        <f>IF(SUM(AC130:AC132)+AC146=0,0,IF(ABS(SUM(AC130:AC132))=AC146,0.5,IF(ABS(SUM(AC130:AC132))&gt;AC146,1,0)))</f>
        <v>1</v>
      </c>
      <c r="AE130" s="195">
        <f t="shared" si="115"/>
        <v>932</v>
      </c>
      <c r="AF130" s="180">
        <f>SUM(V130+X130+Z130+AB130+AD130)</f>
        <v>5</v>
      </c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212"/>
      <c r="BB130" s="213"/>
      <c r="BC130" s="214"/>
      <c r="BD130" s="217">
        <f t="shared" si="116"/>
        <v>25895</v>
      </c>
      <c r="BE130" s="213">
        <f t="shared" si="117"/>
        <v>932</v>
      </c>
      <c r="BF130" s="215">
        <f t="shared" si="118"/>
        <v>5</v>
      </c>
      <c r="BG130" s="215">
        <f t="shared" si="119"/>
        <v>5</v>
      </c>
      <c r="BH130" s="215">
        <f t="shared" si="120"/>
        <v>185</v>
      </c>
      <c r="BI130" s="215">
        <f t="shared" si="121"/>
        <v>176</v>
      </c>
      <c r="BJ130" s="215">
        <f t="shared" si="122"/>
        <v>196</v>
      </c>
      <c r="BK130" s="215">
        <f t="shared" si="123"/>
        <v>183</v>
      </c>
      <c r="BL130" s="215">
        <f t="shared" si="124"/>
        <v>192</v>
      </c>
      <c r="BM130" s="216"/>
      <c r="BN130" s="214"/>
      <c r="BO130" s="215">
        <f t="shared" si="125"/>
        <v>196</v>
      </c>
      <c r="BP130" s="215">
        <f t="shared" si="126"/>
        <v>0</v>
      </c>
      <c r="BQ130" s="215" t="str">
        <f t="shared" si="134"/>
        <v>Castra Regina Regensburg 2</v>
      </c>
      <c r="BR130" s="214">
        <f t="shared" si="127"/>
        <v>2</v>
      </c>
      <c r="BS130" s="215">
        <f t="shared" si="128"/>
        <v>932</v>
      </c>
      <c r="BT130" s="215">
        <f>IF(COUNTIF(BH130:BL130,"&gt;0")&lt;Spielorte!$A$23,0,BE130/Spielorte!$A$23)</f>
        <v>186.4</v>
      </c>
      <c r="BU130" s="215">
        <f t="shared" si="129"/>
        <v>0</v>
      </c>
      <c r="BV130" s="214">
        <f t="shared" si="130"/>
        <v>0</v>
      </c>
    </row>
    <row r="131" spans="1:74" ht="17.100000000000001" customHeight="1" x14ac:dyDescent="0.2">
      <c r="A131" s="374"/>
      <c r="B131" s="19" t="str">
        <f t="shared" si="131"/>
        <v/>
      </c>
      <c r="C131" s="20" t="str">
        <f t="shared" si="132"/>
        <v/>
      </c>
      <c r="D131" s="15" t="str">
        <f t="shared" si="133"/>
        <v/>
      </c>
      <c r="E131" s="353"/>
      <c r="F131" s="15" t="str">
        <f t="shared" si="110"/>
        <v/>
      </c>
      <c r="G131" s="353"/>
      <c r="H131" s="15" t="str">
        <f t="shared" si="111"/>
        <v/>
      </c>
      <c r="I131" s="353"/>
      <c r="J131" s="15" t="str">
        <f t="shared" si="112"/>
        <v/>
      </c>
      <c r="K131" s="353"/>
      <c r="L131" s="15" t="str">
        <f t="shared" si="113"/>
        <v/>
      </c>
      <c r="M131" s="353"/>
      <c r="N131" s="15" t="str">
        <f t="shared" si="114"/>
        <v/>
      </c>
      <c r="O131" s="353"/>
      <c r="R131" s="356"/>
      <c r="S131" s="68" t="str">
        <f>IF(T131=0,"",VLOOKUP(T131,Starter!$A$1:$D$196,2,FALSE))</f>
        <v/>
      </c>
      <c r="T131" s="176"/>
      <c r="U131" s="184"/>
      <c r="V131" s="96"/>
      <c r="W131" s="184"/>
      <c r="X131" s="96"/>
      <c r="Y131" s="184"/>
      <c r="Z131" s="96"/>
      <c r="AA131" s="184"/>
      <c r="AB131" s="96"/>
      <c r="AC131" s="184"/>
      <c r="AD131" s="96"/>
      <c r="AE131" s="196">
        <f t="shared" si="115"/>
        <v>0</v>
      </c>
      <c r="AF131" s="181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212"/>
      <c r="BB131" s="213"/>
      <c r="BC131" s="214"/>
      <c r="BD131" s="217">
        <f t="shared" si="116"/>
        <v>0</v>
      </c>
      <c r="BE131" s="213">
        <f t="shared" si="117"/>
        <v>0</v>
      </c>
      <c r="BF131" s="215">
        <f t="shared" si="118"/>
        <v>0</v>
      </c>
      <c r="BG131" s="215">
        <f t="shared" si="119"/>
        <v>0</v>
      </c>
      <c r="BH131" s="215" t="str">
        <f t="shared" si="120"/>
        <v/>
      </c>
      <c r="BI131" s="215" t="str">
        <f t="shared" si="121"/>
        <v/>
      </c>
      <c r="BJ131" s="215" t="str">
        <f t="shared" si="122"/>
        <v/>
      </c>
      <c r="BK131" s="215" t="str">
        <f t="shared" si="123"/>
        <v/>
      </c>
      <c r="BL131" s="215" t="str">
        <f t="shared" si="124"/>
        <v/>
      </c>
      <c r="BM131" s="216"/>
      <c r="BN131" s="214"/>
      <c r="BO131" s="215">
        <f t="shared" si="125"/>
        <v>0</v>
      </c>
      <c r="BP131" s="215">
        <f t="shared" si="126"/>
        <v>0</v>
      </c>
      <c r="BQ131" s="215" t="str">
        <f t="shared" si="134"/>
        <v>Castra Regina Regensburg 2</v>
      </c>
      <c r="BR131" s="214">
        <f t="shared" si="127"/>
        <v>2</v>
      </c>
      <c r="BS131" s="215">
        <f t="shared" si="128"/>
        <v>0</v>
      </c>
      <c r="BT131" s="215">
        <f>IF(COUNTIF(BH131:BL131,"&gt;0")&lt;Spielorte!$A$23,0,BE131/Spielorte!$A$23)</f>
        <v>0</v>
      </c>
      <c r="BU131" s="215">
        <f t="shared" si="129"/>
        <v>0</v>
      </c>
      <c r="BV131" s="214">
        <f t="shared" si="130"/>
        <v>0</v>
      </c>
    </row>
    <row r="132" spans="1:74" ht="17.100000000000001" customHeight="1" thickBot="1" x14ac:dyDescent="0.25">
      <c r="A132" s="375"/>
      <c r="B132" s="21" t="str">
        <f t="shared" si="131"/>
        <v/>
      </c>
      <c r="C132" s="22" t="str">
        <f t="shared" si="132"/>
        <v/>
      </c>
      <c r="D132" s="9" t="str">
        <f t="shared" si="133"/>
        <v/>
      </c>
      <c r="E132" s="354"/>
      <c r="F132" s="9" t="str">
        <f t="shared" si="110"/>
        <v/>
      </c>
      <c r="G132" s="354"/>
      <c r="H132" s="9" t="str">
        <f t="shared" si="111"/>
        <v/>
      </c>
      <c r="I132" s="354"/>
      <c r="J132" s="9" t="str">
        <f t="shared" si="112"/>
        <v/>
      </c>
      <c r="K132" s="354"/>
      <c r="L132" s="9" t="str">
        <f t="shared" si="113"/>
        <v/>
      </c>
      <c r="M132" s="354"/>
      <c r="N132" s="9" t="str">
        <f t="shared" si="114"/>
        <v/>
      </c>
      <c r="O132" s="354"/>
      <c r="R132" s="357"/>
      <c r="S132" s="70" t="str">
        <f>IF(T132=0,"",VLOOKUP(T132,Starter!$A$1:$D$196,2,FALSE))</f>
        <v/>
      </c>
      <c r="T132" s="179"/>
      <c r="U132" s="187"/>
      <c r="V132" s="97"/>
      <c r="W132" s="187"/>
      <c r="X132" s="97"/>
      <c r="Y132" s="187"/>
      <c r="Z132" s="97"/>
      <c r="AA132" s="187"/>
      <c r="AB132" s="97"/>
      <c r="AC132" s="187"/>
      <c r="AD132" s="97"/>
      <c r="AE132" s="197">
        <f t="shared" si="115"/>
        <v>0</v>
      </c>
      <c r="AF132" s="182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212"/>
      <c r="BB132" s="213"/>
      <c r="BC132" s="214"/>
      <c r="BD132" s="217">
        <f t="shared" si="116"/>
        <v>0</v>
      </c>
      <c r="BE132" s="213">
        <f t="shared" si="117"/>
        <v>0</v>
      </c>
      <c r="BF132" s="215">
        <f t="shared" si="118"/>
        <v>0</v>
      </c>
      <c r="BG132" s="215">
        <f t="shared" si="119"/>
        <v>0</v>
      </c>
      <c r="BH132" s="215" t="str">
        <f t="shared" si="120"/>
        <v/>
      </c>
      <c r="BI132" s="215" t="str">
        <f t="shared" si="121"/>
        <v/>
      </c>
      <c r="BJ132" s="215" t="str">
        <f t="shared" si="122"/>
        <v/>
      </c>
      <c r="BK132" s="215" t="str">
        <f t="shared" si="123"/>
        <v/>
      </c>
      <c r="BL132" s="215" t="str">
        <f t="shared" si="124"/>
        <v/>
      </c>
      <c r="BM132" s="216"/>
      <c r="BN132" s="214"/>
      <c r="BO132" s="215">
        <f t="shared" si="125"/>
        <v>0</v>
      </c>
      <c r="BP132" s="215">
        <f t="shared" si="126"/>
        <v>0</v>
      </c>
      <c r="BQ132" s="215" t="str">
        <f t="shared" si="134"/>
        <v>Castra Regina Regensburg 2</v>
      </c>
      <c r="BR132" s="214">
        <f t="shared" si="127"/>
        <v>2</v>
      </c>
      <c r="BS132" s="215">
        <f t="shared" si="128"/>
        <v>0</v>
      </c>
      <c r="BT132" s="215">
        <f>IF(COUNTIF(BH132:BL132,"&gt;0")&lt;Spielorte!$A$23,0,BE132/Spielorte!$A$23)</f>
        <v>0</v>
      </c>
      <c r="BU132" s="215">
        <f t="shared" si="129"/>
        <v>0</v>
      </c>
      <c r="BV132" s="214">
        <f t="shared" si="130"/>
        <v>0</v>
      </c>
    </row>
    <row r="133" spans="1:74" ht="17.100000000000001" customHeight="1" x14ac:dyDescent="0.2">
      <c r="A133" s="373" t="s">
        <v>3</v>
      </c>
      <c r="B133" s="17" t="str">
        <f t="shared" si="131"/>
        <v>Martin, Dennis</v>
      </c>
      <c r="C133" s="18">
        <f t="shared" si="132"/>
        <v>38870</v>
      </c>
      <c r="D133" s="14">
        <f t="shared" si="133"/>
        <v>165</v>
      </c>
      <c r="E133" s="352">
        <f>IF(V133="","",V133)</f>
        <v>0</v>
      </c>
      <c r="F133" s="14">
        <f t="shared" si="110"/>
        <v>192</v>
      </c>
      <c r="G133" s="352">
        <f>IF(X133="","",X133)</f>
        <v>1</v>
      </c>
      <c r="H133" s="14">
        <f t="shared" si="111"/>
        <v>168</v>
      </c>
      <c r="I133" s="352">
        <f>IF(Z133="","",Z133)</f>
        <v>0</v>
      </c>
      <c r="J133" s="14">
        <f t="shared" si="112"/>
        <v>144</v>
      </c>
      <c r="K133" s="352">
        <f>IF(AB133="","",AB133)</f>
        <v>1</v>
      </c>
      <c r="L133" s="14">
        <f t="shared" si="113"/>
        <v>181</v>
      </c>
      <c r="M133" s="352">
        <f>IF(AD133="","",AD133)</f>
        <v>1</v>
      </c>
      <c r="N133" s="14">
        <f t="shared" si="114"/>
        <v>850</v>
      </c>
      <c r="O133" s="352">
        <f>IF(AF133="","",AF133)</f>
        <v>3</v>
      </c>
      <c r="R133" s="355" t="s">
        <v>3</v>
      </c>
      <c r="S133" s="68" t="str">
        <f>IF(T133=0,"",VLOOKUP(T133,Starter!$A$1:$D$196,2,FALSE))</f>
        <v>Martin, Dennis</v>
      </c>
      <c r="T133" s="178">
        <v>38870</v>
      </c>
      <c r="U133" s="186">
        <v>165</v>
      </c>
      <c r="V133" s="95">
        <f>IF(SUM(U133:U135)+U147=0,0,IF(ABS(SUM(U133:U135))=U147,0.5,IF(ABS(SUM(U133:U135))&gt;U147,1,0)))</f>
        <v>0</v>
      </c>
      <c r="W133" s="186">
        <v>192</v>
      </c>
      <c r="X133" s="95">
        <f>IF(SUM(W133:W135)+W147=0,0,IF(ABS(SUM(W133:W135))=W147,0.5,IF(ABS(SUM(W133:W135))&gt;W147,1,0)))</f>
        <v>1</v>
      </c>
      <c r="Y133" s="186">
        <v>168</v>
      </c>
      <c r="Z133" s="95">
        <f>IF(SUM(Y133:Y135)+Y147=0,0,IF(ABS(SUM(Y133:Y135))=Y147,0.5,IF(ABS(SUM(Y133:Y135))&gt;Y147,1,0)))</f>
        <v>0</v>
      </c>
      <c r="AA133" s="186">
        <v>144</v>
      </c>
      <c r="AB133" s="95">
        <f>IF(SUM(AA133:AA135)+AA147=0,0,IF(ABS(SUM(AA133:AA135))=AA147,0.5,IF(ABS(SUM(AA133:AA135))&gt;AA147,1,0)))</f>
        <v>1</v>
      </c>
      <c r="AC133" s="186">
        <v>181</v>
      </c>
      <c r="AD133" s="95">
        <f>IF(SUM(AC133:AC135)+AC147=0,0,IF(ABS(SUM(AC133:AC135))=AC147,0.5,IF(ABS(SUM(AC133:AC135))&gt;AC147,1,0)))</f>
        <v>1</v>
      </c>
      <c r="AE133" s="195">
        <f t="shared" si="115"/>
        <v>850</v>
      </c>
      <c r="AF133" s="180">
        <f>SUM(V133+X133+Z133+AB133+AD133)</f>
        <v>3</v>
      </c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212"/>
      <c r="BB133" s="213"/>
      <c r="BC133" s="214"/>
      <c r="BD133" s="217">
        <f t="shared" si="116"/>
        <v>38870</v>
      </c>
      <c r="BE133" s="213">
        <f t="shared" si="117"/>
        <v>850</v>
      </c>
      <c r="BF133" s="215">
        <f t="shared" si="118"/>
        <v>5</v>
      </c>
      <c r="BG133" s="215">
        <f t="shared" si="119"/>
        <v>5</v>
      </c>
      <c r="BH133" s="215">
        <f t="shared" si="120"/>
        <v>165</v>
      </c>
      <c r="BI133" s="215">
        <f t="shared" si="121"/>
        <v>192</v>
      </c>
      <c r="BJ133" s="215">
        <f t="shared" si="122"/>
        <v>168</v>
      </c>
      <c r="BK133" s="215">
        <f t="shared" si="123"/>
        <v>144</v>
      </c>
      <c r="BL133" s="215">
        <f t="shared" si="124"/>
        <v>181</v>
      </c>
      <c r="BM133" s="216"/>
      <c r="BN133" s="214"/>
      <c r="BO133" s="215">
        <f t="shared" si="125"/>
        <v>192</v>
      </c>
      <c r="BP133" s="215">
        <f t="shared" si="126"/>
        <v>0</v>
      </c>
      <c r="BQ133" s="215" t="str">
        <f t="shared" si="134"/>
        <v>Castra Regina Regensburg 2</v>
      </c>
      <c r="BR133" s="214">
        <f t="shared" si="127"/>
        <v>2</v>
      </c>
      <c r="BS133" s="215">
        <f t="shared" si="128"/>
        <v>850</v>
      </c>
      <c r="BT133" s="215">
        <f>IF(COUNTIF(BH133:BL133,"&gt;0")&lt;Spielorte!$A$23,0,BE133/Spielorte!$A$23)</f>
        <v>170</v>
      </c>
      <c r="BU133" s="215">
        <f t="shared" si="129"/>
        <v>0</v>
      </c>
      <c r="BV133" s="214">
        <f t="shared" si="130"/>
        <v>0</v>
      </c>
    </row>
    <row r="134" spans="1:74" ht="17.100000000000001" customHeight="1" x14ac:dyDescent="0.2">
      <c r="A134" s="374"/>
      <c r="B134" s="19" t="str">
        <f t="shared" si="131"/>
        <v/>
      </c>
      <c r="C134" s="20" t="str">
        <f t="shared" si="132"/>
        <v/>
      </c>
      <c r="D134" s="15" t="str">
        <f t="shared" si="133"/>
        <v/>
      </c>
      <c r="E134" s="353"/>
      <c r="F134" s="15" t="str">
        <f t="shared" si="110"/>
        <v/>
      </c>
      <c r="G134" s="353"/>
      <c r="H134" s="15" t="str">
        <f t="shared" si="111"/>
        <v/>
      </c>
      <c r="I134" s="353"/>
      <c r="J134" s="15" t="str">
        <f t="shared" si="112"/>
        <v/>
      </c>
      <c r="K134" s="353"/>
      <c r="L134" s="15" t="str">
        <f t="shared" si="113"/>
        <v/>
      </c>
      <c r="M134" s="353"/>
      <c r="N134" s="15" t="str">
        <f t="shared" si="114"/>
        <v/>
      </c>
      <c r="O134" s="353"/>
      <c r="R134" s="356"/>
      <c r="S134" s="68" t="str">
        <f>IF(T134=0,"",VLOOKUP(T134,Starter!$A$1:$D$196,2,FALSE))</f>
        <v/>
      </c>
      <c r="T134" s="176"/>
      <c r="U134" s="184"/>
      <c r="V134" s="96"/>
      <c r="W134" s="184"/>
      <c r="X134" s="96"/>
      <c r="Y134" s="184"/>
      <c r="Z134" s="96"/>
      <c r="AA134" s="184"/>
      <c r="AB134" s="96"/>
      <c r="AC134" s="184"/>
      <c r="AD134" s="96"/>
      <c r="AE134" s="196">
        <f t="shared" si="115"/>
        <v>0</v>
      </c>
      <c r="AF134" s="181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212"/>
      <c r="BB134" s="213"/>
      <c r="BC134" s="214"/>
      <c r="BD134" s="217">
        <f t="shared" si="116"/>
        <v>0</v>
      </c>
      <c r="BE134" s="213">
        <f t="shared" si="117"/>
        <v>0</v>
      </c>
      <c r="BF134" s="215">
        <f t="shared" si="118"/>
        <v>0</v>
      </c>
      <c r="BG134" s="215">
        <f t="shared" si="119"/>
        <v>0</v>
      </c>
      <c r="BH134" s="215" t="str">
        <f t="shared" si="120"/>
        <v/>
      </c>
      <c r="BI134" s="215" t="str">
        <f t="shared" si="121"/>
        <v/>
      </c>
      <c r="BJ134" s="215" t="str">
        <f t="shared" si="122"/>
        <v/>
      </c>
      <c r="BK134" s="215" t="str">
        <f t="shared" si="123"/>
        <v/>
      </c>
      <c r="BL134" s="215" t="str">
        <f t="shared" si="124"/>
        <v/>
      </c>
      <c r="BM134" s="216"/>
      <c r="BN134" s="214"/>
      <c r="BO134" s="215">
        <f t="shared" si="125"/>
        <v>0</v>
      </c>
      <c r="BP134" s="215">
        <f t="shared" si="126"/>
        <v>0</v>
      </c>
      <c r="BQ134" s="215" t="str">
        <f t="shared" si="134"/>
        <v>Castra Regina Regensburg 2</v>
      </c>
      <c r="BR134" s="214">
        <f t="shared" si="127"/>
        <v>2</v>
      </c>
      <c r="BS134" s="215">
        <f t="shared" si="128"/>
        <v>0</v>
      </c>
      <c r="BT134" s="215">
        <f>IF(COUNTIF(BH134:BL134,"&gt;0")&lt;Spielorte!$A$23,0,BE134/Spielorte!$A$23)</f>
        <v>0</v>
      </c>
      <c r="BU134" s="215">
        <f t="shared" si="129"/>
        <v>0</v>
      </c>
      <c r="BV134" s="214">
        <f t="shared" si="130"/>
        <v>0</v>
      </c>
    </row>
    <row r="135" spans="1:74" ht="17.100000000000001" customHeight="1" thickBot="1" x14ac:dyDescent="0.25">
      <c r="A135" s="375"/>
      <c r="B135" s="21" t="str">
        <f t="shared" si="131"/>
        <v/>
      </c>
      <c r="C135" s="22" t="str">
        <f t="shared" si="132"/>
        <v/>
      </c>
      <c r="D135" s="9" t="str">
        <f t="shared" si="133"/>
        <v/>
      </c>
      <c r="E135" s="354"/>
      <c r="F135" s="9" t="str">
        <f t="shared" si="110"/>
        <v/>
      </c>
      <c r="G135" s="354"/>
      <c r="H135" s="9" t="str">
        <f t="shared" si="111"/>
        <v/>
      </c>
      <c r="I135" s="354"/>
      <c r="J135" s="9" t="str">
        <f t="shared" si="112"/>
        <v/>
      </c>
      <c r="K135" s="354"/>
      <c r="L135" s="9" t="str">
        <f t="shared" si="113"/>
        <v/>
      </c>
      <c r="M135" s="354"/>
      <c r="N135" s="9" t="str">
        <f t="shared" si="114"/>
        <v/>
      </c>
      <c r="O135" s="354"/>
      <c r="R135" s="357"/>
      <c r="S135" s="70" t="str">
        <f>IF(T135=0,"",VLOOKUP(T135,Starter!$A$1:$D$196,2,FALSE))</f>
        <v/>
      </c>
      <c r="T135" s="179"/>
      <c r="U135" s="187"/>
      <c r="V135" s="97"/>
      <c r="W135" s="187"/>
      <c r="X135" s="97"/>
      <c r="Y135" s="187"/>
      <c r="Z135" s="97"/>
      <c r="AA135" s="187"/>
      <c r="AB135" s="97"/>
      <c r="AC135" s="187"/>
      <c r="AD135" s="97"/>
      <c r="AE135" s="197">
        <f t="shared" si="115"/>
        <v>0</v>
      </c>
      <c r="AF135" s="182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212"/>
      <c r="BB135" s="213"/>
      <c r="BC135" s="214"/>
      <c r="BD135" s="217">
        <f t="shared" si="116"/>
        <v>0</v>
      </c>
      <c r="BE135" s="213">
        <f t="shared" si="117"/>
        <v>0</v>
      </c>
      <c r="BF135" s="215">
        <f t="shared" si="118"/>
        <v>0</v>
      </c>
      <c r="BG135" s="215">
        <f t="shared" si="119"/>
        <v>0</v>
      </c>
      <c r="BH135" s="215" t="str">
        <f t="shared" si="120"/>
        <v/>
      </c>
      <c r="BI135" s="215" t="str">
        <f t="shared" si="121"/>
        <v/>
      </c>
      <c r="BJ135" s="215" t="str">
        <f t="shared" si="122"/>
        <v/>
      </c>
      <c r="BK135" s="215" t="str">
        <f t="shared" si="123"/>
        <v/>
      </c>
      <c r="BL135" s="215" t="str">
        <f t="shared" si="124"/>
        <v/>
      </c>
      <c r="BM135" s="216"/>
      <c r="BN135" s="214"/>
      <c r="BO135" s="215">
        <f t="shared" si="125"/>
        <v>0</v>
      </c>
      <c r="BP135" s="215">
        <f t="shared" si="126"/>
        <v>0</v>
      </c>
      <c r="BQ135" s="215" t="str">
        <f t="shared" si="134"/>
        <v>Castra Regina Regensburg 2</v>
      </c>
      <c r="BR135" s="214">
        <f t="shared" si="127"/>
        <v>2</v>
      </c>
      <c r="BS135" s="215">
        <f t="shared" si="128"/>
        <v>0</v>
      </c>
      <c r="BT135" s="215">
        <f>IF(COUNTIF(BH135:BL135,"&gt;0")&lt;Spielorte!$A$23,0,BE135/Spielorte!$A$23)</f>
        <v>0</v>
      </c>
      <c r="BU135" s="215">
        <f t="shared" si="129"/>
        <v>0</v>
      </c>
      <c r="BV135" s="214">
        <f t="shared" si="130"/>
        <v>0</v>
      </c>
    </row>
    <row r="136" spans="1:74" ht="17.100000000000001" customHeight="1" x14ac:dyDescent="0.2">
      <c r="A136" s="373" t="s">
        <v>11</v>
      </c>
      <c r="B136" s="17" t="str">
        <f>IF(S136=0,"",S136)</f>
        <v>Humbs, Martin</v>
      </c>
      <c r="C136" s="18">
        <f t="shared" si="132"/>
        <v>38046</v>
      </c>
      <c r="D136" s="14">
        <f t="shared" si="133"/>
        <v>194</v>
      </c>
      <c r="E136" s="352">
        <f>IF(V136="","",V136)</f>
        <v>1</v>
      </c>
      <c r="F136" s="14">
        <f t="shared" si="110"/>
        <v>299</v>
      </c>
      <c r="G136" s="352">
        <f>IF(X136="","",X136)</f>
        <v>1</v>
      </c>
      <c r="H136" s="14">
        <f t="shared" si="111"/>
        <v>256</v>
      </c>
      <c r="I136" s="352">
        <f>IF(Z136="","",Z136)</f>
        <v>1</v>
      </c>
      <c r="J136" s="14">
        <f t="shared" si="112"/>
        <v>210</v>
      </c>
      <c r="K136" s="352">
        <f>IF(AB136="","",AB136)</f>
        <v>1</v>
      </c>
      <c r="L136" s="14">
        <f t="shared" si="113"/>
        <v>222</v>
      </c>
      <c r="M136" s="352">
        <f>IF(AD136="","",AD136)</f>
        <v>1</v>
      </c>
      <c r="N136" s="14">
        <f t="shared" si="114"/>
        <v>1181</v>
      </c>
      <c r="O136" s="352">
        <f>IF(AF136="","",AF136)</f>
        <v>5</v>
      </c>
      <c r="R136" s="355" t="s">
        <v>11</v>
      </c>
      <c r="S136" s="68" t="str">
        <f>IF(T136=0,"",VLOOKUP(T136,Starter!$A$1:$D$196,2,FALSE))</f>
        <v>Humbs, Martin</v>
      </c>
      <c r="T136" s="178">
        <v>38046</v>
      </c>
      <c r="U136" s="186">
        <v>194</v>
      </c>
      <c r="V136" s="95">
        <f>IF(SUM(U136:U138)+U148=0,0,IF(ABS(SUM(U136:U138))=U148,0.5,IF(ABS(SUM(U136:U138))&gt;U148,1,0)))</f>
        <v>1</v>
      </c>
      <c r="W136" s="186">
        <v>299</v>
      </c>
      <c r="X136" s="95">
        <f>IF(SUM(W136:W138)+W148=0,0,IF(ABS(SUM(W136:W138))=W148,0.5,IF(ABS(SUM(W136:W138))&gt;W148,1,0)))</f>
        <v>1</v>
      </c>
      <c r="Y136" s="186">
        <v>256</v>
      </c>
      <c r="Z136" s="95">
        <f>IF(SUM(Y136:Y138)+Y148=0,0,IF(ABS(SUM(Y136:Y138))=Y148,0.5,IF(ABS(SUM(Y136:Y138))&gt;Y148,1,0)))</f>
        <v>1</v>
      </c>
      <c r="AA136" s="186">
        <v>210</v>
      </c>
      <c r="AB136" s="95">
        <f>IF(SUM(AA136:AA138)+AA148=0,0,IF(ABS(SUM(AA136:AA138))=AA148,0.5,IF(ABS(SUM(AA136:AA138))&gt;AA148,1,0)))</f>
        <v>1</v>
      </c>
      <c r="AC136" s="186">
        <v>222</v>
      </c>
      <c r="AD136" s="95">
        <f>IF(SUM(AC136:AC138)+AC148=0,0,IF(ABS(SUM(AC136:AC138))=AC148,0.5,IF(ABS(SUM(AC136:AC138))&gt;AC148,1,0)))</f>
        <v>1</v>
      </c>
      <c r="AE136" s="195">
        <f t="shared" si="115"/>
        <v>1181</v>
      </c>
      <c r="AF136" s="180">
        <f>SUM(V136+X136+Z136+AB136+AD136)</f>
        <v>5</v>
      </c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212"/>
      <c r="BB136" s="213"/>
      <c r="BC136" s="214"/>
      <c r="BD136" s="217">
        <f t="shared" si="116"/>
        <v>38046</v>
      </c>
      <c r="BE136" s="213">
        <f t="shared" si="117"/>
        <v>1181</v>
      </c>
      <c r="BF136" s="215">
        <f t="shared" si="118"/>
        <v>5</v>
      </c>
      <c r="BG136" s="215">
        <f t="shared" si="119"/>
        <v>5</v>
      </c>
      <c r="BH136" s="215">
        <f t="shared" si="120"/>
        <v>194</v>
      </c>
      <c r="BI136" s="215">
        <f t="shared" si="121"/>
        <v>299</v>
      </c>
      <c r="BJ136" s="215">
        <f t="shared" si="122"/>
        <v>256</v>
      </c>
      <c r="BK136" s="215">
        <f t="shared" si="123"/>
        <v>210</v>
      </c>
      <c r="BL136" s="215">
        <f t="shared" si="124"/>
        <v>222</v>
      </c>
      <c r="BM136" s="216"/>
      <c r="BN136" s="214"/>
      <c r="BO136" s="215">
        <f t="shared" si="125"/>
        <v>299</v>
      </c>
      <c r="BP136" s="215">
        <f t="shared" si="126"/>
        <v>299.00000013599998</v>
      </c>
      <c r="BQ136" s="215" t="str">
        <f t="shared" si="134"/>
        <v>Castra Regina Regensburg 2</v>
      </c>
      <c r="BR136" s="214">
        <f t="shared" si="127"/>
        <v>1</v>
      </c>
      <c r="BS136" s="215">
        <f t="shared" si="128"/>
        <v>1181</v>
      </c>
      <c r="BT136" s="215">
        <f>IF(COUNTIF(BH136:BL136,"&gt;0")&lt;Spielorte!$A$23,0,BE136/Spielorte!$A$23)</f>
        <v>236.2</v>
      </c>
      <c r="BU136" s="215">
        <f t="shared" si="129"/>
        <v>236.200000136</v>
      </c>
      <c r="BV136" s="214">
        <f t="shared" si="130"/>
        <v>1</v>
      </c>
    </row>
    <row r="137" spans="1:74" ht="17.100000000000001" customHeight="1" x14ac:dyDescent="0.2">
      <c r="A137" s="374"/>
      <c r="B137" s="19" t="str">
        <f>IF(S137=0,"",S137)</f>
        <v/>
      </c>
      <c r="C137" s="20" t="str">
        <f t="shared" si="132"/>
        <v/>
      </c>
      <c r="D137" s="15" t="str">
        <f t="shared" si="133"/>
        <v/>
      </c>
      <c r="E137" s="353"/>
      <c r="F137" s="15" t="str">
        <f t="shared" si="110"/>
        <v/>
      </c>
      <c r="G137" s="353"/>
      <c r="H137" s="15" t="str">
        <f t="shared" si="111"/>
        <v/>
      </c>
      <c r="I137" s="353"/>
      <c r="J137" s="15" t="str">
        <f t="shared" si="112"/>
        <v/>
      </c>
      <c r="K137" s="353"/>
      <c r="L137" s="15" t="str">
        <f t="shared" si="113"/>
        <v/>
      </c>
      <c r="M137" s="353"/>
      <c r="N137" s="15" t="str">
        <f t="shared" si="114"/>
        <v/>
      </c>
      <c r="O137" s="353"/>
      <c r="R137" s="356"/>
      <c r="S137" s="68" t="str">
        <f>IF(T137=0,"",VLOOKUP(T137,Starter!$A$1:$D$196,2,FALSE))</f>
        <v/>
      </c>
      <c r="T137" s="176"/>
      <c r="U137" s="184"/>
      <c r="V137" s="96"/>
      <c r="W137" s="184"/>
      <c r="X137" s="96"/>
      <c r="Y137" s="184"/>
      <c r="Z137" s="96"/>
      <c r="AA137" s="184"/>
      <c r="AB137" s="96"/>
      <c r="AC137" s="184"/>
      <c r="AD137" s="96"/>
      <c r="AE137" s="196">
        <f t="shared" si="115"/>
        <v>0</v>
      </c>
      <c r="AF137" s="181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212"/>
      <c r="BB137" s="213"/>
      <c r="BC137" s="214"/>
      <c r="BD137" s="217">
        <f t="shared" si="116"/>
        <v>0</v>
      </c>
      <c r="BE137" s="213">
        <f t="shared" si="117"/>
        <v>0</v>
      </c>
      <c r="BF137" s="215">
        <f t="shared" si="118"/>
        <v>0</v>
      </c>
      <c r="BG137" s="215">
        <f t="shared" si="119"/>
        <v>0</v>
      </c>
      <c r="BH137" s="215" t="str">
        <f t="shared" si="120"/>
        <v/>
      </c>
      <c r="BI137" s="215" t="str">
        <f t="shared" si="121"/>
        <v/>
      </c>
      <c r="BJ137" s="215" t="str">
        <f t="shared" si="122"/>
        <v/>
      </c>
      <c r="BK137" s="215" t="str">
        <f t="shared" si="123"/>
        <v/>
      </c>
      <c r="BL137" s="215" t="str">
        <f t="shared" si="124"/>
        <v/>
      </c>
      <c r="BM137" s="216"/>
      <c r="BN137" s="214"/>
      <c r="BO137" s="215">
        <f t="shared" si="125"/>
        <v>0</v>
      </c>
      <c r="BP137" s="215">
        <f t="shared" si="126"/>
        <v>0</v>
      </c>
      <c r="BQ137" s="215" t="str">
        <f t="shared" si="134"/>
        <v>Castra Regina Regensburg 2</v>
      </c>
      <c r="BR137" s="214">
        <f t="shared" si="127"/>
        <v>2</v>
      </c>
      <c r="BS137" s="215">
        <f t="shared" si="128"/>
        <v>0</v>
      </c>
      <c r="BT137" s="215">
        <f>IF(COUNTIF(BH137:BL137,"&gt;0")&lt;Spielorte!$A$23,0,BE137/Spielorte!$A$23)</f>
        <v>0</v>
      </c>
      <c r="BU137" s="215">
        <f t="shared" si="129"/>
        <v>0</v>
      </c>
      <c r="BV137" s="214">
        <f t="shared" si="130"/>
        <v>0</v>
      </c>
    </row>
    <row r="138" spans="1:74" ht="17.100000000000001" customHeight="1" thickBot="1" x14ac:dyDescent="0.25">
      <c r="A138" s="375"/>
      <c r="B138" s="21" t="str">
        <f>IF(S138=0,"",S138)</f>
        <v/>
      </c>
      <c r="C138" s="22" t="str">
        <f t="shared" si="132"/>
        <v/>
      </c>
      <c r="D138" s="9" t="str">
        <f t="shared" si="133"/>
        <v/>
      </c>
      <c r="E138" s="354"/>
      <c r="F138" s="9" t="str">
        <f t="shared" si="110"/>
        <v/>
      </c>
      <c r="G138" s="354"/>
      <c r="H138" s="9" t="str">
        <f t="shared" si="111"/>
        <v/>
      </c>
      <c r="I138" s="354"/>
      <c r="J138" s="9" t="str">
        <f t="shared" si="112"/>
        <v/>
      </c>
      <c r="K138" s="354"/>
      <c r="L138" s="9" t="str">
        <f t="shared" si="113"/>
        <v/>
      </c>
      <c r="M138" s="354"/>
      <c r="N138" s="9" t="str">
        <f t="shared" si="114"/>
        <v/>
      </c>
      <c r="O138" s="354"/>
      <c r="R138" s="357"/>
      <c r="S138" s="70" t="str">
        <f>IF(T138=0,"",VLOOKUP(T138,Starter!$A$1:$D$196,2,FALSE))</f>
        <v/>
      </c>
      <c r="T138" s="179"/>
      <c r="U138" s="187"/>
      <c r="V138" s="97"/>
      <c r="W138" s="187"/>
      <c r="X138" s="97"/>
      <c r="Y138" s="187"/>
      <c r="Z138" s="97"/>
      <c r="AA138" s="187"/>
      <c r="AB138" s="97"/>
      <c r="AC138" s="187"/>
      <c r="AD138" s="97"/>
      <c r="AE138" s="197">
        <f t="shared" si="115"/>
        <v>0</v>
      </c>
      <c r="AF138" s="182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212"/>
      <c r="BB138" s="213"/>
      <c r="BC138" s="214"/>
      <c r="BD138" s="217">
        <f t="shared" si="116"/>
        <v>0</v>
      </c>
      <c r="BE138" s="213">
        <f t="shared" si="117"/>
        <v>0</v>
      </c>
      <c r="BF138" s="215">
        <f t="shared" si="118"/>
        <v>0</v>
      </c>
      <c r="BG138" s="215">
        <f t="shared" si="119"/>
        <v>0</v>
      </c>
      <c r="BH138" s="215" t="str">
        <f t="shared" si="120"/>
        <v/>
      </c>
      <c r="BI138" s="215" t="str">
        <f t="shared" si="121"/>
        <v/>
      </c>
      <c r="BJ138" s="215" t="str">
        <f t="shared" si="122"/>
        <v/>
      </c>
      <c r="BK138" s="215" t="str">
        <f t="shared" si="123"/>
        <v/>
      </c>
      <c r="BL138" s="215" t="str">
        <f t="shared" si="124"/>
        <v/>
      </c>
      <c r="BM138" s="216"/>
      <c r="BN138" s="214"/>
      <c r="BO138" s="215">
        <f t="shared" si="125"/>
        <v>0</v>
      </c>
      <c r="BP138" s="215">
        <f t="shared" si="126"/>
        <v>0</v>
      </c>
      <c r="BQ138" s="215" t="str">
        <f t="shared" si="134"/>
        <v>Castra Regina Regensburg 2</v>
      </c>
      <c r="BR138" s="214">
        <f t="shared" si="127"/>
        <v>2</v>
      </c>
      <c r="BS138" s="215">
        <f t="shared" si="128"/>
        <v>0</v>
      </c>
      <c r="BT138" s="215">
        <f>IF(COUNTIF(BH138:BL138,"&gt;0")&lt;Spielorte!$A$23,0,BE138/Spielorte!$A$23)</f>
        <v>0</v>
      </c>
      <c r="BU138" s="215">
        <f t="shared" si="129"/>
        <v>0</v>
      </c>
      <c r="BV138" s="214">
        <f t="shared" si="130"/>
        <v>0</v>
      </c>
    </row>
    <row r="139" spans="1:74" ht="27.75" customHeight="1" thickBot="1" x14ac:dyDescent="0.25">
      <c r="B139" s="11" t="str">
        <f>IF(S139=0,"",S139)</f>
        <v>Gesamt</v>
      </c>
      <c r="C139" s="26" t="str">
        <f t="shared" si="132"/>
        <v/>
      </c>
      <c r="D139" s="16">
        <f t="shared" si="133"/>
        <v>791</v>
      </c>
      <c r="E139" s="12">
        <f>IF(V139="","",V139)</f>
        <v>2</v>
      </c>
      <c r="F139" s="16">
        <f t="shared" si="110"/>
        <v>863</v>
      </c>
      <c r="G139" s="12">
        <f>IF(X139="","",X139)</f>
        <v>2</v>
      </c>
      <c r="H139" s="16">
        <f t="shared" si="111"/>
        <v>765</v>
      </c>
      <c r="I139" s="12">
        <f>IF(Z139="","",Z139)</f>
        <v>2</v>
      </c>
      <c r="J139" s="16">
        <f t="shared" si="112"/>
        <v>750</v>
      </c>
      <c r="K139" s="12">
        <f>IF(AB139="","",AB139)</f>
        <v>2</v>
      </c>
      <c r="L139" s="16">
        <f t="shared" si="113"/>
        <v>770</v>
      </c>
      <c r="M139" s="12">
        <f>IF(AD139="","",AD139)</f>
        <v>2</v>
      </c>
      <c r="N139" s="16">
        <f t="shared" si="114"/>
        <v>3939</v>
      </c>
      <c r="O139" s="12">
        <f>IF(AF139="","",AF139)</f>
        <v>10</v>
      </c>
      <c r="S139" s="11" t="s">
        <v>1791</v>
      </c>
      <c r="T139" s="71"/>
      <c r="U139" s="188">
        <f>ABS(SUM(U127:U129))+ABS(SUM(U130:U132))+ABS(SUM(U133:U135))+ABS(SUM(U136:U138))</f>
        <v>791</v>
      </c>
      <c r="V139" s="98">
        <f>IF(U139+U149=0,0,IF(U139=U149,1,IF(U139&gt;U149,2,0)))</f>
        <v>2</v>
      </c>
      <c r="W139" s="188">
        <f>ABS(SUM(W127:W129))+ABS(SUM(W130:W132))+ABS(SUM(W133:W135))+ABS(SUM(W136:W138))</f>
        <v>863</v>
      </c>
      <c r="X139" s="98">
        <f>IF(W139+W149=0,0,IF(W139=W149,1,IF(W139&gt;W149,2,0)))</f>
        <v>2</v>
      </c>
      <c r="Y139" s="188">
        <f>ABS(SUM(Y127:Y129))+ABS(SUM(Y130:Y132))+ABS(SUM(Y133:Y135))+ABS(SUM(Y136:Y138))</f>
        <v>765</v>
      </c>
      <c r="Z139" s="98">
        <f>IF(Y139+Y149=0,0,IF(Y139=Y149,1,IF(Y139&gt;Y149,2,0)))</f>
        <v>2</v>
      </c>
      <c r="AA139" s="188">
        <f>ABS(SUM(AA127:AA129))+ABS(SUM(AA130:AA132))+ABS(SUM(AA133:AA135))+ABS(SUM(AA136:AA138))</f>
        <v>750</v>
      </c>
      <c r="AB139" s="98">
        <f>IF(AA139+AA149=0,0,IF(AA139=AA149,1,IF(AA139&gt;AA149,2,0)))</f>
        <v>2</v>
      </c>
      <c r="AC139" s="188">
        <f>ABS(SUM(AC127:AC129))+ABS(SUM(AC130:AC132))+ABS(SUM(AC133:AC135))+ABS(SUM(AC136:AC138))</f>
        <v>770</v>
      </c>
      <c r="AD139" s="98">
        <f>IF(AC139+AC149=0,0,IF(AC139=AC149,1,IF(AC139&gt;AC149,2,0)))</f>
        <v>2</v>
      </c>
      <c r="AE139" s="198">
        <f>SUM(U139+W139+Y139+AA139+AC139)</f>
        <v>3939</v>
      </c>
      <c r="AF139" s="12">
        <f>SUM(V139+X139+Z139+AB139+AD139)</f>
        <v>10</v>
      </c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212"/>
      <c r="BB139" s="213"/>
      <c r="BC139" s="214"/>
      <c r="BM139" s="216"/>
      <c r="BN139" s="214"/>
      <c r="BR139" s="214"/>
      <c r="BV139" s="214"/>
    </row>
    <row r="140" spans="1:74" ht="24" customHeight="1" thickBot="1" x14ac:dyDescent="0.25">
      <c r="B140" s="8" t="str">
        <f>IF(S140=0,"",S140)</f>
        <v>Gesamt - Punkte</v>
      </c>
      <c r="C140" s="1" t="str">
        <f t="shared" si="132"/>
        <v/>
      </c>
      <c r="D140" s="1" t="str">
        <f t="shared" si="133"/>
        <v/>
      </c>
      <c r="E140" s="23">
        <f>IF(V140="","",V140)</f>
        <v>5</v>
      </c>
      <c r="F140" s="1" t="str">
        <f t="shared" si="110"/>
        <v/>
      </c>
      <c r="G140" s="23">
        <f>IF(X140="","",X140)</f>
        <v>6</v>
      </c>
      <c r="H140" s="1" t="str">
        <f t="shared" si="111"/>
        <v/>
      </c>
      <c r="I140" s="23">
        <f>IF(Z140="","",Z140)</f>
        <v>4</v>
      </c>
      <c r="J140" s="1" t="str">
        <f t="shared" si="112"/>
        <v/>
      </c>
      <c r="K140" s="23">
        <f>IF(AB140="","",AB140)</f>
        <v>6</v>
      </c>
      <c r="L140" s="1" t="str">
        <f t="shared" si="113"/>
        <v/>
      </c>
      <c r="M140" s="23">
        <f>IF(AD140="","",AD140)</f>
        <v>5</v>
      </c>
      <c r="N140" s="1" t="str">
        <f t="shared" si="114"/>
        <v/>
      </c>
      <c r="O140" s="23">
        <f>IF(AF140="","",AF140)</f>
        <v>26</v>
      </c>
      <c r="S140" s="8" t="s">
        <v>1802</v>
      </c>
      <c r="T140" s="1"/>
      <c r="U140" s="1"/>
      <c r="V140" s="72">
        <f>SUM(V127:V139)</f>
        <v>5</v>
      </c>
      <c r="W140" s="1"/>
      <c r="X140" s="72">
        <f>SUM(X127:X139)</f>
        <v>6</v>
      </c>
      <c r="Y140" s="1"/>
      <c r="Z140" s="72">
        <f>SUM(Z127:Z139)</f>
        <v>4</v>
      </c>
      <c r="AA140" s="1"/>
      <c r="AB140" s="72">
        <f>SUM(AB127:AB139)</f>
        <v>6</v>
      </c>
      <c r="AC140" s="1"/>
      <c r="AD140" s="72">
        <f>SUM(AD127:AD139)</f>
        <v>5</v>
      </c>
      <c r="AE140" s="1"/>
      <c r="AF140" s="72">
        <f>SUM(AF127:AF139)</f>
        <v>26</v>
      </c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212">
        <f>AF140</f>
        <v>26</v>
      </c>
      <c r="BB140" s="213">
        <f>AE139</f>
        <v>3939</v>
      </c>
      <c r="BC140" s="214">
        <f>+S122</f>
        <v>5</v>
      </c>
      <c r="BF140" s="215">
        <f>SUM(BF121:BF139)</f>
        <v>20</v>
      </c>
      <c r="BM140" s="212">
        <f>+BB140/1000000+BA140</f>
        <v>26.003938999999999</v>
      </c>
      <c r="BN140" s="214">
        <f>RANK(BM140,BM:BM)</f>
        <v>1</v>
      </c>
      <c r="BR140" s="214"/>
      <c r="BV140" s="214"/>
    </row>
    <row r="141" spans="1:74" ht="11.25" customHeight="1" x14ac:dyDescent="0.2">
      <c r="B141" s="1"/>
      <c r="C141" s="1"/>
      <c r="D141" s="1"/>
      <c r="E141" s="2"/>
      <c r="F141" s="1"/>
      <c r="G141" s="2"/>
      <c r="H141" s="1"/>
      <c r="I141" s="2"/>
      <c r="J141" s="1"/>
      <c r="K141" s="2"/>
      <c r="L141" s="1"/>
      <c r="M141" s="2"/>
      <c r="N141" s="1"/>
      <c r="O141" s="2"/>
      <c r="S141" s="1"/>
      <c r="T141" s="1"/>
      <c r="U141" s="1"/>
      <c r="V141" s="2"/>
      <c r="W141" s="1"/>
      <c r="X141" s="2"/>
      <c r="Y141" s="1"/>
      <c r="Z141" s="2"/>
      <c r="AA141" s="1"/>
      <c r="AB141" s="2"/>
      <c r="AC141" s="1"/>
      <c r="AD141" s="2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12"/>
      <c r="BB141" s="213"/>
      <c r="BC141" s="214"/>
      <c r="BM141" s="216"/>
      <c r="BN141" s="214"/>
      <c r="BR141" s="214"/>
      <c r="BV141" s="214"/>
    </row>
    <row r="142" spans="1:74" ht="12.75" customHeight="1" x14ac:dyDescent="0.2">
      <c r="B142" s="13" t="str">
        <f t="shared" ref="B142:B149" si="135">IF(S142=0,"",S142)</f>
        <v>Gegner-Nr.:</v>
      </c>
      <c r="C142" s="5" t="str">
        <f t="shared" ref="C142:C149" si="136">IF(T142=0,"",T142)</f>
        <v>&gt;&gt;&gt;&gt;</v>
      </c>
      <c r="D142" s="350">
        <f t="shared" ref="D142:M144" si="137">IF(U142=0,"",U142)</f>
        <v>6</v>
      </c>
      <c r="E142" s="350" t="str">
        <f t="shared" si="137"/>
        <v/>
      </c>
      <c r="F142" s="350">
        <f t="shared" si="137"/>
        <v>4</v>
      </c>
      <c r="G142" s="350" t="str">
        <f t="shared" si="137"/>
        <v/>
      </c>
      <c r="H142" s="350">
        <f t="shared" si="137"/>
        <v>2</v>
      </c>
      <c r="I142" s="350" t="str">
        <f t="shared" si="137"/>
        <v/>
      </c>
      <c r="J142" s="350">
        <f t="shared" si="137"/>
        <v>3</v>
      </c>
      <c r="K142" s="350" t="str">
        <f t="shared" si="137"/>
        <v/>
      </c>
      <c r="L142" s="350">
        <f t="shared" si="137"/>
        <v>1</v>
      </c>
      <c r="M142" s="350" t="str">
        <f t="shared" si="137"/>
        <v/>
      </c>
      <c r="N142" s="351"/>
      <c r="O142" s="351"/>
      <c r="S142" s="13" t="s">
        <v>1789</v>
      </c>
      <c r="T142" s="5" t="s">
        <v>1790</v>
      </c>
      <c r="U142" s="369">
        <f>VLOOKUP($S122,Schlüssel!$A$5:$K$10,3)</f>
        <v>6</v>
      </c>
      <c r="V142" s="370"/>
      <c r="W142" s="369">
        <f>VLOOKUP($S122,Schlüssel!$A$5:$K$10,4)</f>
        <v>4</v>
      </c>
      <c r="X142" s="370"/>
      <c r="Y142" s="369">
        <f>VLOOKUP($S122,Schlüssel!$A$5:$K$10,5)</f>
        <v>2</v>
      </c>
      <c r="Z142" s="370"/>
      <c r="AA142" s="369">
        <f>VLOOKUP($S122,Schlüssel!$A$5:$K$10,6)</f>
        <v>3</v>
      </c>
      <c r="AB142" s="370"/>
      <c r="AC142" s="369">
        <f>VLOOKUP($S122,Schlüssel!$A$5:$K$10,7)</f>
        <v>1</v>
      </c>
      <c r="AD142" s="370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212"/>
      <c r="BB142" s="213"/>
      <c r="BC142" s="214"/>
      <c r="BM142" s="216"/>
      <c r="BN142" s="214"/>
      <c r="BR142" s="214"/>
      <c r="BV142" s="214"/>
    </row>
    <row r="143" spans="1:74" ht="28.5" customHeight="1" x14ac:dyDescent="0.2">
      <c r="B143" s="4" t="str">
        <f t="shared" si="135"/>
        <v/>
      </c>
      <c r="C143" s="1" t="str">
        <f t="shared" si="136"/>
        <v/>
      </c>
      <c r="D143" s="347" t="str">
        <f t="shared" si="137"/>
        <v>Adler Nürnberg 1</v>
      </c>
      <c r="E143" s="348" t="str">
        <f t="shared" si="137"/>
        <v/>
      </c>
      <c r="F143" s="347" t="str">
        <f t="shared" si="137"/>
        <v>Kings Club Bayreuth Land 3</v>
      </c>
      <c r="G143" s="348" t="str">
        <f t="shared" si="137"/>
        <v/>
      </c>
      <c r="H143" s="347" t="str">
        <f t="shared" si="137"/>
        <v>Herzogenaurach 1</v>
      </c>
      <c r="I143" s="348" t="str">
        <f t="shared" si="137"/>
        <v/>
      </c>
      <c r="J143" s="347" t="str">
        <f t="shared" si="137"/>
        <v>Kings Club Bayreuth Land 2</v>
      </c>
      <c r="K143" s="348" t="str">
        <f t="shared" si="137"/>
        <v/>
      </c>
      <c r="L143" s="347" t="str">
        <f t="shared" si="137"/>
        <v>Castra Regina Regensburg 3</v>
      </c>
      <c r="M143" s="348" t="str">
        <f t="shared" si="137"/>
        <v/>
      </c>
      <c r="N143" s="349"/>
      <c r="O143" s="349"/>
      <c r="S143" s="4"/>
      <c r="T143" s="1"/>
      <c r="U143" s="347" t="str">
        <f>VLOOKUP(U142,Schlüssel!$A$5:$K$10,2)</f>
        <v>Adler Nürnberg 1</v>
      </c>
      <c r="V143" s="348"/>
      <c r="W143" s="347" t="str">
        <f>VLOOKUP(W142,Schlüssel!$A$5:$K$10,2)</f>
        <v>Kings Club Bayreuth Land 3</v>
      </c>
      <c r="X143" s="348"/>
      <c r="Y143" s="347" t="str">
        <f>VLOOKUP(Y142,Schlüssel!$A$5:$K$10,2)</f>
        <v>Herzogenaurach 1</v>
      </c>
      <c r="Z143" s="348"/>
      <c r="AA143" s="347" t="str">
        <f>VLOOKUP(AA142,Schlüssel!$A$5:$K$10,2)</f>
        <v>Kings Club Bayreuth Land 2</v>
      </c>
      <c r="AB143" s="348"/>
      <c r="AC143" s="347" t="str">
        <f>VLOOKUP(AC142,Schlüssel!$A$5:$K$10,2)</f>
        <v>Castra Regina Regensburg 3</v>
      </c>
      <c r="AD143" s="348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212"/>
      <c r="BB143" s="213"/>
      <c r="BC143" s="214"/>
      <c r="BM143" s="216"/>
      <c r="BN143" s="214"/>
      <c r="BR143" s="214"/>
      <c r="BV143" s="214"/>
    </row>
    <row r="144" spans="1:74" ht="12" customHeight="1" x14ac:dyDescent="0.2">
      <c r="B144" s="4" t="str">
        <f t="shared" si="135"/>
        <v/>
      </c>
      <c r="C144" s="1" t="str">
        <f t="shared" si="136"/>
        <v/>
      </c>
      <c r="D144" s="346" t="str">
        <f t="shared" si="137"/>
        <v/>
      </c>
      <c r="E144" s="346" t="str">
        <f t="shared" si="137"/>
        <v/>
      </c>
      <c r="F144" s="346" t="str">
        <f t="shared" si="137"/>
        <v/>
      </c>
      <c r="G144" s="346" t="str">
        <f t="shared" si="137"/>
        <v/>
      </c>
      <c r="H144" s="346" t="str">
        <f t="shared" si="137"/>
        <v/>
      </c>
      <c r="I144" s="346" t="str">
        <f t="shared" si="137"/>
        <v/>
      </c>
      <c r="J144" s="346" t="str">
        <f t="shared" si="137"/>
        <v/>
      </c>
      <c r="K144" s="346" t="str">
        <f t="shared" si="137"/>
        <v/>
      </c>
      <c r="L144" s="346" t="str">
        <f t="shared" si="137"/>
        <v/>
      </c>
      <c r="M144" s="346" t="str">
        <f t="shared" si="137"/>
        <v/>
      </c>
      <c r="N144" s="310"/>
      <c r="O144" s="310"/>
      <c r="S144" s="4"/>
      <c r="T144" s="1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212"/>
      <c r="BB144" s="213"/>
      <c r="BC144" s="214"/>
      <c r="BM144" s="216"/>
      <c r="BN144" s="214"/>
      <c r="BR144" s="214"/>
      <c r="BV144" s="214"/>
    </row>
    <row r="145" spans="1:74" ht="15.95" customHeight="1" x14ac:dyDescent="0.2">
      <c r="B145" s="371" t="str">
        <f t="shared" si="135"/>
        <v>Spieler 1</v>
      </c>
      <c r="C145" s="372" t="str">
        <f t="shared" si="136"/>
        <v/>
      </c>
      <c r="D145" s="344">
        <f>IF(U145=301,"",U145)</f>
        <v>190</v>
      </c>
      <c r="E145" s="344" t="str">
        <f>IF(V145=0,"",V145)</f>
        <v/>
      </c>
      <c r="F145" s="344">
        <f>IF(W145=301,"",W145)</f>
        <v>181</v>
      </c>
      <c r="G145" s="344" t="str">
        <f>IF(X145=0,"",X145)</f>
        <v/>
      </c>
      <c r="H145" s="344">
        <f>IF(Y145=301,"",Y145)</f>
        <v>173</v>
      </c>
      <c r="I145" s="344" t="str">
        <f>IF(Z145=0,"",Z145)</f>
        <v/>
      </c>
      <c r="J145" s="344">
        <f>IF(AA145=301,"",AA145)</f>
        <v>144</v>
      </c>
      <c r="K145" s="344" t="str">
        <f>IF(AB145=0,"",AB145)</f>
        <v/>
      </c>
      <c r="L145" s="344">
        <f>IF(AC145=301,"",AC145)</f>
        <v>214</v>
      </c>
      <c r="M145" s="344" t="str">
        <f>IF(AD145=0,"",AD145)</f>
        <v/>
      </c>
      <c r="N145" s="345"/>
      <c r="O145" s="345"/>
      <c r="S145" s="35" t="s">
        <v>0</v>
      </c>
      <c r="T145" s="36"/>
      <c r="U145" s="367">
        <f>ABS(INDEX(U:U,MATCH(U142,$S:$S,0)+5)+INDEX(U:U,MATCH(U142,$S:$S,0)+6)+INDEX(U:U,MATCH(U142,$S:$S,0)+7))</f>
        <v>190</v>
      </c>
      <c r="V145" s="368"/>
      <c r="W145" s="367">
        <f>ABS(INDEX(W:W,MATCH(W142,$S:$S,0)+5)+INDEX(W:W,MATCH(W142,$S:$S,0)+6)+INDEX(W:W,MATCH(W142,$S:$S,0)+7))</f>
        <v>181</v>
      </c>
      <c r="X145" s="368"/>
      <c r="Y145" s="367">
        <f>ABS(INDEX(Y:Y,MATCH(Y142,$S:$S,0)+5)+INDEX(Y:Y,MATCH(Y142,$S:$S,0)+6)+INDEX(Y:Y,MATCH(Y142,$S:$S,0)+7))</f>
        <v>173</v>
      </c>
      <c r="Z145" s="368"/>
      <c r="AA145" s="367">
        <f>ABS(INDEX(AA:AA,MATCH(AA142,$S:$S,0)+5)+INDEX(AA:AA,MATCH(AA142,$S:$S,0)+6)+INDEX(AA:AA,MATCH(AA142,$S:$S,0)+7))</f>
        <v>144</v>
      </c>
      <c r="AB145" s="368"/>
      <c r="AC145" s="367">
        <f>ABS(INDEX(AC:AC,MATCH(AC142,$S:$S,0)+5)+INDEX(AC:AC,MATCH(AC142,$S:$S,0)+6)+INDEX(AC:AC,MATCH(AC142,$S:$S,0)+7))</f>
        <v>214</v>
      </c>
      <c r="AD145" s="368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12"/>
      <c r="BB145" s="213"/>
      <c r="BC145" s="214"/>
      <c r="BM145" s="216"/>
      <c r="BN145" s="214"/>
      <c r="BR145" s="214"/>
      <c r="BV145" s="214"/>
    </row>
    <row r="146" spans="1:74" ht="15.95" customHeight="1" x14ac:dyDescent="0.2">
      <c r="B146" s="371" t="str">
        <f t="shared" si="135"/>
        <v>Spieler 2</v>
      </c>
      <c r="C146" s="372" t="str">
        <f t="shared" si="136"/>
        <v/>
      </c>
      <c r="D146" s="344">
        <f>IF(U146=301,"",U146)</f>
        <v>167</v>
      </c>
      <c r="E146" s="344" t="str">
        <f>IF(V146=0,"",V146)</f>
        <v/>
      </c>
      <c r="F146" s="344">
        <f>IF(W146=301,"",W146)</f>
        <v>116</v>
      </c>
      <c r="G146" s="344" t="str">
        <f>IF(X146=0,"",X146)</f>
        <v/>
      </c>
      <c r="H146" s="344">
        <f>IF(Y146=301,"",Y146)</f>
        <v>143</v>
      </c>
      <c r="I146" s="344" t="str">
        <f>IF(Z146=0,"",Z146)</f>
        <v/>
      </c>
      <c r="J146" s="344">
        <f>IF(AA146=301,"",AA146)</f>
        <v>136</v>
      </c>
      <c r="K146" s="344" t="str">
        <f>IF(AB146=0,"",AB146)</f>
        <v/>
      </c>
      <c r="L146" s="344">
        <f>IF(AC146=301,"",AC146)</f>
        <v>148</v>
      </c>
      <c r="M146" s="344" t="str">
        <f>IF(AD146=0,"",AD146)</f>
        <v/>
      </c>
      <c r="N146" s="345"/>
      <c r="O146" s="345"/>
      <c r="S146" s="35" t="s">
        <v>2</v>
      </c>
      <c r="T146" s="36"/>
      <c r="U146" s="365">
        <f>ABS(INDEX(U:U,MATCH(U142,$S:$S,0)+8)+INDEX(U:U,MATCH(U142,$S:$S,0)+9)+INDEX(U:U,MATCH(U142,$S:$S,0)+10))</f>
        <v>167</v>
      </c>
      <c r="V146" s="366"/>
      <c r="W146" s="365">
        <f>ABS(INDEX(W:W,MATCH(W142,$S:$S,0)+8)+INDEX(W:W,MATCH(W142,$S:$S,0)+9)+INDEX(W:W,MATCH(W142,$S:$S,0)+10))</f>
        <v>116</v>
      </c>
      <c r="X146" s="366"/>
      <c r="Y146" s="365">
        <f>ABS(INDEX(Y:Y,MATCH(Y142,$S:$S,0)+8)+INDEX(Y:Y,MATCH(Y142,$S:$S,0)+9)+INDEX(Y:Y,MATCH(Y142,$S:$S,0)+10))</f>
        <v>143</v>
      </c>
      <c r="Z146" s="366"/>
      <c r="AA146" s="365">
        <f>ABS(INDEX(AA:AA,MATCH(AA142,$S:$S,0)+8)+INDEX(AA:AA,MATCH(AA142,$S:$S,0)+9)+INDEX(AA:AA,MATCH(AA142,$S:$S,0)+10))</f>
        <v>136</v>
      </c>
      <c r="AB146" s="366"/>
      <c r="AC146" s="365">
        <f>ABS(INDEX(AC:AC,MATCH(AC142,$S:$S,0)+8)+INDEX(AC:AC,MATCH(AC142,$S:$S,0)+9)+INDEX(AC:AC,MATCH(AC142,$S:$S,0)+10))</f>
        <v>148</v>
      </c>
      <c r="AD146" s="36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12"/>
      <c r="BB146" s="213"/>
      <c r="BC146" s="214"/>
      <c r="BM146" s="216"/>
      <c r="BN146" s="214"/>
      <c r="BR146" s="214"/>
      <c r="BV146" s="214"/>
    </row>
    <row r="147" spans="1:74" ht="15.95" customHeight="1" x14ac:dyDescent="0.2">
      <c r="B147" s="371" t="str">
        <f t="shared" si="135"/>
        <v>Spieler 3</v>
      </c>
      <c r="C147" s="372" t="str">
        <f t="shared" si="136"/>
        <v/>
      </c>
      <c r="D147" s="344">
        <f>IF(U147=301,"",U147)</f>
        <v>175</v>
      </c>
      <c r="E147" s="344" t="str">
        <f>IF(V147=0,"",V147)</f>
        <v/>
      </c>
      <c r="F147" s="344">
        <f>IF(W147=301,"",W147)</f>
        <v>146</v>
      </c>
      <c r="G147" s="344" t="str">
        <f>IF(X147=0,"",X147)</f>
        <v/>
      </c>
      <c r="H147" s="344">
        <f>IF(Y147=301,"",Y147)</f>
        <v>214</v>
      </c>
      <c r="I147" s="344" t="str">
        <f>IF(Z147=0,"",Z147)</f>
        <v/>
      </c>
      <c r="J147" s="344">
        <f>IF(AA147=301,"",AA147)</f>
        <v>115</v>
      </c>
      <c r="K147" s="344" t="str">
        <f>IF(AB147=0,"",AB147)</f>
        <v/>
      </c>
      <c r="L147" s="344">
        <f>IF(AC147=301,"",AC147)</f>
        <v>171</v>
      </c>
      <c r="M147" s="344" t="str">
        <f>IF(AD147=0,"",AD147)</f>
        <v/>
      </c>
      <c r="N147" s="345"/>
      <c r="O147" s="345"/>
      <c r="S147" s="35" t="s">
        <v>3</v>
      </c>
      <c r="T147" s="36"/>
      <c r="U147" s="365">
        <f>ABS(INDEX(U:U,MATCH(U142,$S:$S,0)+11)+INDEX(U:U,MATCH(U142,$S:$S,0)+12)+INDEX(U:U,MATCH(U142,$S:$S,0)+13))</f>
        <v>175</v>
      </c>
      <c r="V147" s="366"/>
      <c r="W147" s="365">
        <f>ABS(INDEX(W:W,MATCH(W142,$S:$S,0)+11)+INDEX(W:W,MATCH(W142,$S:$S,0)+12)+INDEX(W:W,MATCH(W142,$S:$S,0)+13))</f>
        <v>146</v>
      </c>
      <c r="X147" s="366"/>
      <c r="Y147" s="365">
        <f>ABS(INDEX(Y:Y,MATCH(Y142,$S:$S,0)+11)+INDEX(Y:Y,MATCH(Y142,$S:$S,0)+12)+INDEX(Y:Y,MATCH(Y142,$S:$S,0)+13))</f>
        <v>214</v>
      </c>
      <c r="Z147" s="366"/>
      <c r="AA147" s="365">
        <f>ABS(INDEX(AA:AA,MATCH(AA142,$S:$S,0)+11)+INDEX(AA:AA,MATCH(AA142,$S:$S,0)+12)+INDEX(AA:AA,MATCH(AA142,$S:$S,0)+13))</f>
        <v>115</v>
      </c>
      <c r="AB147" s="366"/>
      <c r="AC147" s="365">
        <f>ABS(INDEX(AC:AC,MATCH(AC142,$S:$S,0)+11)+INDEX(AC:AC,MATCH(AC142,$S:$S,0)+12)+INDEX(AC:AC,MATCH(AC142,$S:$S,0)+13))</f>
        <v>171</v>
      </c>
      <c r="AD147" s="36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12"/>
      <c r="BB147" s="213"/>
      <c r="BC147" s="214"/>
      <c r="BM147" s="216"/>
      <c r="BN147" s="214"/>
      <c r="BR147" s="214"/>
      <c r="BV147" s="214"/>
    </row>
    <row r="148" spans="1:74" ht="15.95" customHeight="1" x14ac:dyDescent="0.2">
      <c r="B148" s="371" t="str">
        <f t="shared" si="135"/>
        <v>Spieler 4</v>
      </c>
      <c r="C148" s="372" t="str">
        <f t="shared" si="136"/>
        <v/>
      </c>
      <c r="D148" s="344">
        <f>IF(U148=301,"",U148)</f>
        <v>151</v>
      </c>
      <c r="E148" s="344" t="str">
        <f>IF(V148=0,"",V148)</f>
        <v/>
      </c>
      <c r="F148" s="344">
        <f>IF(W148=301,"",W148)</f>
        <v>211</v>
      </c>
      <c r="G148" s="344" t="str">
        <f>IF(X148=0,"",X148)</f>
        <v/>
      </c>
      <c r="H148" s="344">
        <f>IF(Y148=301,"",Y148)</f>
        <v>167</v>
      </c>
      <c r="I148" s="344" t="str">
        <f>IF(Z148=0,"",Z148)</f>
        <v/>
      </c>
      <c r="J148" s="344">
        <f>IF(AA148=301,"",AA148)</f>
        <v>196</v>
      </c>
      <c r="K148" s="344" t="str">
        <f>IF(AB148=0,"",AB148)</f>
        <v/>
      </c>
      <c r="L148" s="344">
        <f>IF(AC148=301,"",AC148)</f>
        <v>155</v>
      </c>
      <c r="M148" s="344" t="str">
        <f>IF(AD148=0,"",AD148)</f>
        <v/>
      </c>
      <c r="N148" s="345"/>
      <c r="O148" s="345"/>
      <c r="S148" s="35" t="s">
        <v>11</v>
      </c>
      <c r="T148" s="36"/>
      <c r="U148" s="365">
        <f>ABS(INDEX(U:U,MATCH(U142,$S:$S,0)+14)+INDEX(U:U,MATCH(U142,$S:$S,0)+15)+INDEX(U:U,MATCH(U142,$S:$S,0)+16))</f>
        <v>151</v>
      </c>
      <c r="V148" s="366"/>
      <c r="W148" s="365">
        <f>ABS(INDEX(W:W,MATCH(W142,$S:$S,0)+14)+INDEX(W:W,MATCH(W142,$S:$S,0)+15)+INDEX(W:W,MATCH(W142,$S:$S,0)+16))</f>
        <v>211</v>
      </c>
      <c r="X148" s="366"/>
      <c r="Y148" s="365">
        <f>ABS(INDEX(Y:Y,MATCH(Y142,$S:$S,0)+14)+INDEX(Y:Y,MATCH(Y142,$S:$S,0)+15)+INDEX(Y:Y,MATCH(Y142,$S:$S,0)+16))</f>
        <v>167</v>
      </c>
      <c r="Z148" s="366"/>
      <c r="AA148" s="365">
        <f>ABS(INDEX(AA:AA,MATCH(AA142,$S:$S,0)+14)+INDEX(AA:AA,MATCH(AA142,$S:$S,0)+15)+INDEX(AA:AA,MATCH(AA142,$S:$S,0)+16))</f>
        <v>196</v>
      </c>
      <c r="AB148" s="366"/>
      <c r="AC148" s="365">
        <f>ABS(INDEX(AC:AC,MATCH(AC142,$S:$S,0)+14)+INDEX(AC:AC,MATCH(AC142,$S:$S,0)+15)+INDEX(AC:AC,MATCH(AC142,$S:$S,0)+16))</f>
        <v>155</v>
      </c>
      <c r="AD148" s="36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12"/>
      <c r="BB148" s="213"/>
      <c r="BC148" s="214"/>
      <c r="BM148" s="216"/>
      <c r="BN148" s="214"/>
      <c r="BR148" s="214"/>
      <c r="BV148" s="214"/>
    </row>
    <row r="149" spans="1:74" ht="15.95" customHeight="1" x14ac:dyDescent="0.2">
      <c r="B149" s="359" t="str">
        <f t="shared" si="135"/>
        <v>Gesamt</v>
      </c>
      <c r="C149" s="360" t="str">
        <f t="shared" si="136"/>
        <v/>
      </c>
      <c r="D149" s="343">
        <f>IF(U149=1505,"",U149)</f>
        <v>683</v>
      </c>
      <c r="E149" s="343" t="str">
        <f>IF(V149=0,"",V149)</f>
        <v/>
      </c>
      <c r="F149" s="343">
        <f>IF(W149=1505,"",W149)</f>
        <v>654</v>
      </c>
      <c r="G149" s="343" t="str">
        <f>IF(X149=0,"",X149)</f>
        <v/>
      </c>
      <c r="H149" s="343">
        <f>IF(Y149=1505,"",Y149)</f>
        <v>697</v>
      </c>
      <c r="I149" s="343" t="str">
        <f>IF(Z149=0,"",Z149)</f>
        <v/>
      </c>
      <c r="J149" s="343">
        <f>IF(AA149=1505,"",AA149)</f>
        <v>591</v>
      </c>
      <c r="K149" s="343" t="str">
        <f>IF(AB149=0,"",AB149)</f>
        <v/>
      </c>
      <c r="L149" s="343">
        <f>IF(AC149=1505,"",AC149)</f>
        <v>688</v>
      </c>
      <c r="M149" s="343" t="str">
        <f>IF(AD149=0,"",AD149)</f>
        <v/>
      </c>
      <c r="N149" s="298"/>
      <c r="O149" s="298"/>
      <c r="S149" s="37" t="s">
        <v>1791</v>
      </c>
      <c r="T149" s="38"/>
      <c r="U149" s="359">
        <f>SUM(U145:U148)</f>
        <v>683</v>
      </c>
      <c r="V149" s="360"/>
      <c r="W149" s="359">
        <f>SUM(W145:W148)</f>
        <v>654</v>
      </c>
      <c r="X149" s="360"/>
      <c r="Y149" s="359">
        <f>SUM(Y145:Y148)</f>
        <v>697</v>
      </c>
      <c r="Z149" s="360"/>
      <c r="AA149" s="359">
        <f>SUM(AA145:AA148)</f>
        <v>591</v>
      </c>
      <c r="AB149" s="360"/>
      <c r="AC149" s="359">
        <f>SUM(AC145:AC148)</f>
        <v>688</v>
      </c>
      <c r="AD149" s="360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12"/>
      <c r="BB149" s="213"/>
      <c r="BC149" s="214"/>
      <c r="BM149" s="216"/>
      <c r="BN149" s="214"/>
      <c r="BR149" s="214"/>
      <c r="BV149" s="214"/>
    </row>
    <row r="150" spans="1:74" ht="10.5" customHeight="1" x14ac:dyDescent="0.2">
      <c r="B150" s="3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S150" s="3"/>
      <c r="T150" s="1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12"/>
      <c r="BB150" s="213"/>
      <c r="BC150" s="214"/>
      <c r="BM150" s="216"/>
      <c r="BN150" s="214"/>
      <c r="BR150" s="214"/>
      <c r="BV150" s="214"/>
    </row>
    <row r="151" spans="1:74" ht="21" customHeight="1" x14ac:dyDescent="0.35">
      <c r="B151" s="7" t="str">
        <f>S151</f>
        <v>Team-Nr.</v>
      </c>
      <c r="C151" s="25"/>
      <c r="D151" s="7" t="str">
        <f>U151</f>
        <v>Liga:</v>
      </c>
      <c r="E151" s="77" t="str">
        <f>V151</f>
        <v>Bezirksliga N1 Männer</v>
      </c>
      <c r="F151" s="25"/>
      <c r="G151" s="25"/>
      <c r="H151" s="25"/>
      <c r="I151" s="25"/>
      <c r="J151" s="25"/>
      <c r="K151" s="25"/>
      <c r="L151" s="25"/>
      <c r="M151" s="376" t="str">
        <f>AD151</f>
        <v>13.10.</v>
      </c>
      <c r="N151" s="376"/>
      <c r="O151" s="376"/>
      <c r="P151" s="377"/>
      <c r="Q151" s="377"/>
      <c r="R151" s="377"/>
      <c r="S151" s="7" t="s">
        <v>1801</v>
      </c>
      <c r="T151" s="25"/>
      <c r="U151" s="30" t="s">
        <v>1785</v>
      </c>
      <c r="V151" s="77" t="str">
        <f>Schlüssel!$C$1</f>
        <v>Bezirksliga N1 Männer</v>
      </c>
      <c r="X151" s="25"/>
      <c r="Y151" s="25"/>
      <c r="Z151" s="25"/>
      <c r="AA151" s="25"/>
      <c r="AC151" s="29"/>
      <c r="AD151" s="358" t="str">
        <f>Schlüssel!$M$1</f>
        <v>13.10.</v>
      </c>
      <c r="AE151" s="358"/>
      <c r="AF151" s="358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212" t="s">
        <v>2078</v>
      </c>
      <c r="BB151" s="213" t="s">
        <v>1799</v>
      </c>
      <c r="BC151" s="214" t="s">
        <v>1823</v>
      </c>
      <c r="BD151" s="215" t="s">
        <v>1814</v>
      </c>
      <c r="BE151" s="215" t="s">
        <v>1799</v>
      </c>
      <c r="BF151" s="215" t="s">
        <v>1819</v>
      </c>
      <c r="BG151" s="215" t="s">
        <v>1815</v>
      </c>
      <c r="BH151" s="215" t="s">
        <v>2079</v>
      </c>
      <c r="BI151" s="215" t="s">
        <v>2080</v>
      </c>
      <c r="BJ151" s="215" t="s">
        <v>2081</v>
      </c>
      <c r="BK151" s="215" t="s">
        <v>2082</v>
      </c>
      <c r="BL151" s="215" t="s">
        <v>2083</v>
      </c>
      <c r="BM151" s="216" t="s">
        <v>2084</v>
      </c>
      <c r="BN151" s="214" t="s">
        <v>1820</v>
      </c>
      <c r="BO151" s="215" t="s">
        <v>2085</v>
      </c>
      <c r="BP151" s="215" t="s">
        <v>2086</v>
      </c>
      <c r="BQ151" s="215" t="s">
        <v>1823</v>
      </c>
      <c r="BR151" s="214" t="s">
        <v>1820</v>
      </c>
      <c r="BS151" s="216" t="s">
        <v>2087</v>
      </c>
      <c r="BT151" s="215" t="s">
        <v>2088</v>
      </c>
      <c r="BU151" s="215" t="s">
        <v>2089</v>
      </c>
      <c r="BV151" s="214" t="s">
        <v>1820</v>
      </c>
    </row>
    <row r="152" spans="1:74" ht="17.25" customHeight="1" thickBot="1" x14ac:dyDescent="0.3">
      <c r="B152" s="50">
        <f>S152</f>
        <v>6</v>
      </c>
      <c r="D152" s="30" t="str">
        <f>U152</f>
        <v>Ort:</v>
      </c>
      <c r="E152" s="84" t="str">
        <f>V152</f>
        <v>Nürnberg West Bowling</v>
      </c>
      <c r="F152" s="77"/>
      <c r="G152" s="77"/>
      <c r="H152" s="77"/>
      <c r="I152" s="77"/>
      <c r="J152" s="77"/>
      <c r="K152" s="77"/>
      <c r="L152" s="29" t="str">
        <f>AC152</f>
        <v>Spieltag:</v>
      </c>
      <c r="M152" s="86">
        <f>AD152</f>
        <v>1</v>
      </c>
      <c r="N152" s="28"/>
      <c r="R152" s="49"/>
      <c r="S152" s="50">
        <v>6</v>
      </c>
      <c r="U152" s="30" t="s">
        <v>1786</v>
      </c>
      <c r="V152" s="84" t="str">
        <f>Schlüssel!$C$2</f>
        <v>Nürnberg West Bowling</v>
      </c>
      <c r="X152" s="77"/>
      <c r="Y152" s="77"/>
      <c r="Z152" s="77"/>
      <c r="AA152" s="77"/>
      <c r="AB152" s="77"/>
      <c r="AC152" s="29" t="s">
        <v>1784</v>
      </c>
      <c r="AD152" s="34">
        <v>1</v>
      </c>
      <c r="AE152" s="28"/>
      <c r="BA152" s="212"/>
      <c r="BB152" s="213"/>
      <c r="BC152" s="214"/>
      <c r="BM152" s="216"/>
      <c r="BN152" s="214"/>
      <c r="BR152" s="214"/>
      <c r="BS152" s="216"/>
      <c r="BV152" s="214"/>
    </row>
    <row r="153" spans="1:74" ht="15.75" customHeight="1" thickBot="1" x14ac:dyDescent="0.25">
      <c r="B153" s="32" t="str">
        <f>VLOOKUP(B152,Schlüssel!$A$5:$B$10,2)</f>
        <v>Adler Nürnberg 1</v>
      </c>
      <c r="C153" s="31"/>
      <c r="D153" s="42"/>
      <c r="E153" s="46"/>
      <c r="F153" s="48"/>
      <c r="G153" s="27"/>
      <c r="H153" s="27"/>
      <c r="I153" s="27"/>
      <c r="J153" s="27"/>
      <c r="K153" s="27"/>
      <c r="L153" s="27"/>
      <c r="M153" s="85"/>
      <c r="S153" s="32" t="str">
        <f>VLOOKUP(S152,Schlüssel!$A$5:$B$10,2)</f>
        <v>Adler Nürnberg 1</v>
      </c>
      <c r="T153" s="31"/>
      <c r="U153" s="31"/>
      <c r="V153" s="190"/>
      <c r="W153" s="61"/>
      <c r="BA153" s="212"/>
      <c r="BB153" s="213"/>
      <c r="BC153" s="214"/>
      <c r="BM153" s="216"/>
      <c r="BN153" s="214"/>
      <c r="BR153" s="214"/>
      <c r="BS153" s="216"/>
      <c r="BV153" s="214"/>
    </row>
    <row r="154" spans="1:74" ht="13.5" thickBot="1" x14ac:dyDescent="0.25">
      <c r="A154" s="33"/>
      <c r="B154" s="7"/>
      <c r="C154" s="39"/>
      <c r="D154" s="43" t="s">
        <v>10</v>
      </c>
      <c r="E154" s="7">
        <f>VLOOKUP($B$2,Schlüssel!$A$5:$DZ$10,13)</f>
        <v>1</v>
      </c>
      <c r="F154" s="47" t="s">
        <v>10</v>
      </c>
      <c r="G154" s="7">
        <f>VLOOKUP($B$2,Schlüssel!$A$5:$DZ$10,14)</f>
        <v>3</v>
      </c>
      <c r="H154" s="47" t="s">
        <v>10</v>
      </c>
      <c r="I154" s="7">
        <f>VLOOKUP($B$2,Schlüssel!$A$5:$DZ$10,15)</f>
        <v>2</v>
      </c>
      <c r="J154" s="47" t="s">
        <v>10</v>
      </c>
      <c r="K154" s="7">
        <f>VLOOKUP($B$2,Schlüssel!$A$5:$DZ$10,16)</f>
        <v>4</v>
      </c>
      <c r="L154" s="47" t="s">
        <v>10</v>
      </c>
      <c r="M154" s="7">
        <f>VLOOKUP($B$2,Schlüssel!$A$5:$DZ$10,17)</f>
        <v>1</v>
      </c>
      <c r="R154" s="6"/>
      <c r="S154" s="7"/>
      <c r="T154" s="39"/>
      <c r="U154" s="194" t="s">
        <v>10</v>
      </c>
      <c r="V154" s="191">
        <f>VLOOKUP($S152,Schlüssel!$A$5:$DZ$10,13)</f>
        <v>6</v>
      </c>
      <c r="W154" s="193" t="s">
        <v>10</v>
      </c>
      <c r="X154" s="191">
        <f>VLOOKUP($S152,Schlüssel!$A$5:$DZ$10,14)</f>
        <v>4</v>
      </c>
      <c r="Y154" s="193" t="s">
        <v>10</v>
      </c>
      <c r="Z154" s="191">
        <f>VLOOKUP($S152,Schlüssel!$A$5:$DZ$10,15)</f>
        <v>5</v>
      </c>
      <c r="AA154" s="193" t="s">
        <v>10</v>
      </c>
      <c r="AB154" s="191">
        <f>VLOOKUP($S152,Schlüssel!$A$5:$DZ$10,16)</f>
        <v>2</v>
      </c>
      <c r="AC154" s="193" t="s">
        <v>10</v>
      </c>
      <c r="AD154" s="192">
        <f>VLOOKUP($S152,Schlüssel!$A$5:$DZ$10,17)</f>
        <v>3</v>
      </c>
      <c r="BA154" s="212"/>
      <c r="BB154" s="213"/>
      <c r="BC154" s="214"/>
      <c r="BM154" s="216"/>
      <c r="BN154" s="214"/>
      <c r="BR154" s="214"/>
      <c r="BS154" s="216"/>
      <c r="BV154" s="214"/>
    </row>
    <row r="155" spans="1:74" ht="20.25" customHeight="1" x14ac:dyDescent="0.2">
      <c r="B155" s="40" t="s">
        <v>1</v>
      </c>
      <c r="C155" s="41"/>
      <c r="D155" s="359" t="s">
        <v>1792</v>
      </c>
      <c r="E155" s="360"/>
      <c r="F155" s="359" t="s">
        <v>1793</v>
      </c>
      <c r="G155" s="360"/>
      <c r="H155" s="359" t="s">
        <v>1794</v>
      </c>
      <c r="I155" s="360"/>
      <c r="J155" s="359" t="s">
        <v>1795</v>
      </c>
      <c r="K155" s="360"/>
      <c r="L155" s="359" t="s">
        <v>1796</v>
      </c>
      <c r="M155" s="360"/>
      <c r="N155" s="361" t="s">
        <v>1791</v>
      </c>
      <c r="O155" s="362"/>
      <c r="S155" s="40" t="s">
        <v>1</v>
      </c>
      <c r="T155" s="41"/>
      <c r="U155" s="359" t="s">
        <v>1792</v>
      </c>
      <c r="V155" s="360"/>
      <c r="W155" s="359" t="s">
        <v>1793</v>
      </c>
      <c r="X155" s="360"/>
      <c r="Y155" s="359" t="s">
        <v>1794</v>
      </c>
      <c r="Z155" s="360"/>
      <c r="AA155" s="359" t="s">
        <v>1795</v>
      </c>
      <c r="AB155" s="360"/>
      <c r="AC155" s="359" t="s">
        <v>1796</v>
      </c>
      <c r="AD155" s="363"/>
      <c r="AE155" s="364" t="s">
        <v>1791</v>
      </c>
      <c r="AF155" s="36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12"/>
      <c r="BB155" s="213"/>
      <c r="BC155" s="214"/>
      <c r="BM155" s="216"/>
      <c r="BN155" s="214"/>
      <c r="BR155" s="214"/>
      <c r="BV155" s="214"/>
    </row>
    <row r="156" spans="1:74" ht="15" customHeight="1" thickBot="1" x14ac:dyDescent="0.25">
      <c r="B156" s="9" t="s">
        <v>1797</v>
      </c>
      <c r="C156" s="44" t="s">
        <v>1798</v>
      </c>
      <c r="D156" s="45" t="s">
        <v>1799</v>
      </c>
      <c r="E156" s="45" t="s">
        <v>1800</v>
      </c>
      <c r="F156" s="45" t="s">
        <v>1799</v>
      </c>
      <c r="G156" s="45" t="s">
        <v>1800</v>
      </c>
      <c r="H156" s="45" t="s">
        <v>1799</v>
      </c>
      <c r="I156" s="45" t="s">
        <v>1800</v>
      </c>
      <c r="J156" s="45" t="s">
        <v>1799</v>
      </c>
      <c r="K156" s="45" t="s">
        <v>1800</v>
      </c>
      <c r="L156" s="45" t="s">
        <v>1799</v>
      </c>
      <c r="M156" s="45" t="s">
        <v>1800</v>
      </c>
      <c r="N156" s="45" t="s">
        <v>1799</v>
      </c>
      <c r="O156" s="10" t="s">
        <v>1800</v>
      </c>
      <c r="S156" s="9" t="s">
        <v>1797</v>
      </c>
      <c r="T156" s="44" t="s">
        <v>1798</v>
      </c>
      <c r="U156" s="45" t="s">
        <v>1799</v>
      </c>
      <c r="V156" s="45" t="s">
        <v>1800</v>
      </c>
      <c r="W156" s="45" t="s">
        <v>1799</v>
      </c>
      <c r="X156" s="45" t="s">
        <v>1800</v>
      </c>
      <c r="Y156" s="45" t="s">
        <v>1799</v>
      </c>
      <c r="Z156" s="45" t="s">
        <v>1800</v>
      </c>
      <c r="AA156" s="45" t="s">
        <v>1799</v>
      </c>
      <c r="AB156" s="45" t="s">
        <v>1800</v>
      </c>
      <c r="AC156" s="45" t="s">
        <v>1799</v>
      </c>
      <c r="AD156" s="45" t="s">
        <v>1800</v>
      </c>
      <c r="AE156" s="9" t="s">
        <v>1799</v>
      </c>
      <c r="AF156" s="10" t="s">
        <v>1800</v>
      </c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212"/>
      <c r="BB156" s="213"/>
      <c r="BC156" s="214"/>
      <c r="BM156" s="216"/>
      <c r="BN156" s="214"/>
      <c r="BR156" s="214"/>
      <c r="BV156" s="214"/>
    </row>
    <row r="157" spans="1:74" ht="17.100000000000001" customHeight="1" x14ac:dyDescent="0.2">
      <c r="A157" s="373" t="s">
        <v>0</v>
      </c>
      <c r="B157" s="17" t="str">
        <f>IF(S157=0,"",S157)</f>
        <v>Kohl, Oswald</v>
      </c>
      <c r="C157" s="18">
        <f>IF(T157=0,"",T157)</f>
        <v>25944</v>
      </c>
      <c r="D157" s="14">
        <f>IF(U157=0,"",U157)</f>
        <v>190</v>
      </c>
      <c r="E157" s="352">
        <f>IF(V157="","",V157)</f>
        <v>0</v>
      </c>
      <c r="F157" s="14">
        <f t="shared" ref="F157:F170" si="138">IF(W157=0,"",W157)</f>
        <v>168</v>
      </c>
      <c r="G157" s="352">
        <f>IF(X157="","",X157)</f>
        <v>0</v>
      </c>
      <c r="H157" s="14">
        <f t="shared" ref="H157:H170" si="139">IF(Y157=0,"",Y157)</f>
        <v>190</v>
      </c>
      <c r="I157" s="352">
        <f>IF(Z157="","",Z157)</f>
        <v>1</v>
      </c>
      <c r="J157" s="14">
        <f t="shared" ref="J157:J170" si="140">IF(AA157=0,"",AA157)</f>
        <v>173</v>
      </c>
      <c r="K157" s="352">
        <f>IF(AB157="","",AB157)</f>
        <v>0</v>
      </c>
      <c r="L157" s="14">
        <f t="shared" ref="L157:L170" si="141">IF(AC157=0,"",AC157)</f>
        <v>127</v>
      </c>
      <c r="M157" s="352">
        <f>IF(AD157="","",AD157)</f>
        <v>0</v>
      </c>
      <c r="N157" s="14">
        <f t="shared" ref="N157:N170" si="142">IF(AE157=0,"",AE157)</f>
        <v>848</v>
      </c>
      <c r="O157" s="352">
        <f>IF(AF157="","",AF157)</f>
        <v>1</v>
      </c>
      <c r="R157" s="355" t="s">
        <v>0</v>
      </c>
      <c r="S157" s="68" t="str">
        <f>IF(T157=0,"",VLOOKUP(T157,Starter!$A$1:$D$196,2,FALSE))</f>
        <v>Kohl, Oswald</v>
      </c>
      <c r="T157" s="175">
        <v>25944</v>
      </c>
      <c r="U157" s="183">
        <v>190</v>
      </c>
      <c r="V157" s="95">
        <f>IF(SUM(U157:U159)+U175=0,0,IF(ABS(SUM(U157:U159))=U175,0.5,IF(ABS(SUM(U157:U159))&gt;U175,1,0)))</f>
        <v>0</v>
      </c>
      <c r="W157" s="183">
        <v>168</v>
      </c>
      <c r="X157" s="95">
        <f>IF(SUM(W157:W159)+W175=0,0,IF(ABS(SUM(W157:W159))=W175,0.5,IF(ABS(SUM(W157:W159))&gt;W175,1,0)))</f>
        <v>0</v>
      </c>
      <c r="Y157" s="183">
        <v>190</v>
      </c>
      <c r="Z157" s="95">
        <f>IF(SUM(Y157:Y159)+Y175=0,0,IF(ABS(SUM(Y157:Y159))=Y175,0.5,IF(ABS(SUM(Y157:Y159))&gt;Y175,1,0)))</f>
        <v>1</v>
      </c>
      <c r="AA157" s="189">
        <v>173</v>
      </c>
      <c r="AB157" s="95">
        <f>IF(SUM(AA157:AA159)+AA175=0,0,IF(ABS(SUM(AA157:AA159))=AA175,0.5,IF(ABS(SUM(AA157:AA159))&gt;AA175,1,0)))</f>
        <v>0</v>
      </c>
      <c r="AC157" s="183">
        <v>127</v>
      </c>
      <c r="AD157" s="95">
        <f>IF(SUM(AC157:AC159)+AC175=0,0,IF(ABS(SUM(AC157:AC159))=AC175,0.5,IF(ABS(SUM(AC157:AC159))&gt;AC175,1,0)))</f>
        <v>0</v>
      </c>
      <c r="AE157" s="195">
        <f t="shared" ref="AE157:AE168" si="143">ABS(SUM(U157:U157))+ABS(SUM(W157:W157))+ABS(SUM(Y157:Y157))+ABS(SUM(AA157:AA157))+ABS(SUM(AC157:AC157))</f>
        <v>848</v>
      </c>
      <c r="AF157" s="180">
        <f>SUM(V157+X157+Z157+AB157+AD157)</f>
        <v>1</v>
      </c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212"/>
      <c r="BB157" s="213"/>
      <c r="BC157" s="214"/>
      <c r="BD157" s="217">
        <f t="shared" ref="BD157:BD168" si="144">T157</f>
        <v>25944</v>
      </c>
      <c r="BE157" s="213">
        <f t="shared" ref="BE157:BE168" si="145">AE157</f>
        <v>848</v>
      </c>
      <c r="BF157" s="215">
        <f t="shared" ref="BF157:BF168" si="146">COUNT(BH157:BL157)</f>
        <v>5</v>
      </c>
      <c r="BG157" s="215">
        <f t="shared" ref="BG157:BG168" si="147">COUNTIF(BH157:BL157,"&gt;0")</f>
        <v>5</v>
      </c>
      <c r="BH157" s="215">
        <f t="shared" ref="BH157:BH168" si="148">IF(U157=0,"",U157)</f>
        <v>190</v>
      </c>
      <c r="BI157" s="215">
        <f t="shared" ref="BI157:BI168" si="149">IF(W157=0,"",W157)</f>
        <v>168</v>
      </c>
      <c r="BJ157" s="215">
        <f t="shared" ref="BJ157:BJ168" si="150">IF(Y157=0,"",Y157)</f>
        <v>190</v>
      </c>
      <c r="BK157" s="215">
        <f t="shared" ref="BK157:BK168" si="151">IF(AA157=0,"",AA157)</f>
        <v>173</v>
      </c>
      <c r="BL157" s="215">
        <f t="shared" ref="BL157:BL168" si="152">IF(AC157=0,"",AC157)</f>
        <v>127</v>
      </c>
      <c r="BM157" s="216"/>
      <c r="BN157" s="214"/>
      <c r="BO157" s="215">
        <f t="shared" ref="BO157:BO168" si="153">MAX(BH157:BL157)</f>
        <v>190</v>
      </c>
      <c r="BP157" s="215">
        <f t="shared" ref="BP157:BP168" si="154">IF(BO157&lt;MAX(BO:BO),0,BO157+ROW()/1000000000)</f>
        <v>0</v>
      </c>
      <c r="BQ157" s="215" t="str">
        <f>+S153</f>
        <v>Adler Nürnberg 1</v>
      </c>
      <c r="BR157" s="214">
        <f t="shared" ref="BR157:BR168" si="155">RANK(BP157,BP:BP)</f>
        <v>2</v>
      </c>
      <c r="BS157" s="215">
        <f t="shared" ref="BS157:BS168" si="156">SUMIF(BH157:BL157,"&gt;0")</f>
        <v>848</v>
      </c>
      <c r="BT157" s="215">
        <f>IF(COUNTIF(BH157:BL157,"&gt;0")&lt;Spielorte!$A$23,0,BE157/Spielorte!$A$23)</f>
        <v>169.6</v>
      </c>
      <c r="BU157" s="215">
        <f t="shared" ref="BU157:BU168" si="157">IF(BT157&lt;MAX(BT:BT),0,BT157+ROW()/1000000000)</f>
        <v>0</v>
      </c>
      <c r="BV157" s="214">
        <f t="shared" ref="BV157:BV168" si="158">IF(BU157=0,0,RANK(BU157,BU:BU))</f>
        <v>0</v>
      </c>
    </row>
    <row r="158" spans="1:74" ht="17.100000000000001" customHeight="1" x14ac:dyDescent="0.2">
      <c r="A158" s="374"/>
      <c r="B158" s="19" t="str">
        <f t="shared" ref="B158:B165" si="159">IF(S158=0,"",S158)</f>
        <v/>
      </c>
      <c r="C158" s="20" t="str">
        <f t="shared" ref="C158:C170" si="160">IF(T158=0,"",T158)</f>
        <v/>
      </c>
      <c r="D158" s="15" t="str">
        <f t="shared" ref="D158:D170" si="161">IF(U158=0,"",U158)</f>
        <v/>
      </c>
      <c r="E158" s="353"/>
      <c r="F158" s="15" t="str">
        <f t="shared" si="138"/>
        <v/>
      </c>
      <c r="G158" s="353"/>
      <c r="H158" s="15" t="str">
        <f t="shared" si="139"/>
        <v/>
      </c>
      <c r="I158" s="353"/>
      <c r="J158" s="15" t="str">
        <f t="shared" si="140"/>
        <v/>
      </c>
      <c r="K158" s="353"/>
      <c r="L158" s="15" t="str">
        <f t="shared" si="141"/>
        <v/>
      </c>
      <c r="M158" s="353"/>
      <c r="N158" s="15" t="str">
        <f t="shared" si="142"/>
        <v/>
      </c>
      <c r="O158" s="353"/>
      <c r="R158" s="356"/>
      <c r="S158" s="68" t="str">
        <f>IF(T158=0,"",VLOOKUP(T158,Starter!$A$1:$D$196,2,FALSE))</f>
        <v/>
      </c>
      <c r="T158" s="176"/>
      <c r="U158" s="184"/>
      <c r="V158" s="96"/>
      <c r="W158" s="184"/>
      <c r="X158" s="96"/>
      <c r="Y158" s="184"/>
      <c r="Z158" s="96"/>
      <c r="AA158" s="184"/>
      <c r="AB158" s="96"/>
      <c r="AC158" s="184"/>
      <c r="AD158" s="96"/>
      <c r="AE158" s="196">
        <f t="shared" si="143"/>
        <v>0</v>
      </c>
      <c r="AF158" s="181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212"/>
      <c r="BB158" s="213"/>
      <c r="BC158" s="214"/>
      <c r="BD158" s="217">
        <f t="shared" si="144"/>
        <v>0</v>
      </c>
      <c r="BE158" s="213">
        <f t="shared" si="145"/>
        <v>0</v>
      </c>
      <c r="BF158" s="215">
        <f t="shared" si="146"/>
        <v>0</v>
      </c>
      <c r="BG158" s="215">
        <f t="shared" si="147"/>
        <v>0</v>
      </c>
      <c r="BH158" s="215" t="str">
        <f t="shared" si="148"/>
        <v/>
      </c>
      <c r="BI158" s="215" t="str">
        <f t="shared" si="149"/>
        <v/>
      </c>
      <c r="BJ158" s="215" t="str">
        <f t="shared" si="150"/>
        <v/>
      </c>
      <c r="BK158" s="215" t="str">
        <f t="shared" si="151"/>
        <v/>
      </c>
      <c r="BL158" s="215" t="str">
        <f t="shared" si="152"/>
        <v/>
      </c>
      <c r="BM158" s="216"/>
      <c r="BN158" s="214"/>
      <c r="BO158" s="215">
        <f t="shared" si="153"/>
        <v>0</v>
      </c>
      <c r="BP158" s="215">
        <f t="shared" si="154"/>
        <v>0</v>
      </c>
      <c r="BQ158" s="215" t="str">
        <f t="shared" ref="BQ158:BQ168" si="162">+BQ157</f>
        <v>Adler Nürnberg 1</v>
      </c>
      <c r="BR158" s="214">
        <f t="shared" si="155"/>
        <v>2</v>
      </c>
      <c r="BS158" s="215">
        <f t="shared" si="156"/>
        <v>0</v>
      </c>
      <c r="BT158" s="215">
        <f>IF(COUNTIF(BH158:BL158,"&gt;0")&lt;Spielorte!$A$23,0,BE158/Spielorte!$A$23)</f>
        <v>0</v>
      </c>
      <c r="BU158" s="215">
        <f t="shared" si="157"/>
        <v>0</v>
      </c>
      <c r="BV158" s="214">
        <f t="shared" si="158"/>
        <v>0</v>
      </c>
    </row>
    <row r="159" spans="1:74" ht="17.100000000000001" customHeight="1" thickBot="1" x14ac:dyDescent="0.25">
      <c r="A159" s="375"/>
      <c r="B159" s="21" t="str">
        <f t="shared" si="159"/>
        <v/>
      </c>
      <c r="C159" s="22" t="str">
        <f t="shared" si="160"/>
        <v/>
      </c>
      <c r="D159" s="9" t="str">
        <f t="shared" si="161"/>
        <v/>
      </c>
      <c r="E159" s="354"/>
      <c r="F159" s="9" t="str">
        <f t="shared" si="138"/>
        <v/>
      </c>
      <c r="G159" s="354"/>
      <c r="H159" s="9" t="str">
        <f t="shared" si="139"/>
        <v/>
      </c>
      <c r="I159" s="354"/>
      <c r="J159" s="9" t="str">
        <f t="shared" si="140"/>
        <v/>
      </c>
      <c r="K159" s="354"/>
      <c r="L159" s="9" t="str">
        <f t="shared" si="141"/>
        <v/>
      </c>
      <c r="M159" s="354"/>
      <c r="N159" s="9" t="str">
        <f t="shared" si="142"/>
        <v/>
      </c>
      <c r="O159" s="354"/>
      <c r="R159" s="357"/>
      <c r="S159" s="69" t="str">
        <f>IF(T159=0,"",VLOOKUP(T159,Starter!$A$1:$D$196,2,FALSE))</f>
        <v/>
      </c>
      <c r="T159" s="177"/>
      <c r="U159" s="185"/>
      <c r="V159" s="96"/>
      <c r="W159" s="185"/>
      <c r="X159" s="96"/>
      <c r="Y159" s="185"/>
      <c r="Z159" s="96"/>
      <c r="AA159" s="185"/>
      <c r="AB159" s="96"/>
      <c r="AC159" s="185"/>
      <c r="AD159" s="96"/>
      <c r="AE159" s="197">
        <f t="shared" si="143"/>
        <v>0</v>
      </c>
      <c r="AF159" s="182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212"/>
      <c r="BB159" s="213"/>
      <c r="BC159" s="214"/>
      <c r="BD159" s="217">
        <f t="shared" si="144"/>
        <v>0</v>
      </c>
      <c r="BE159" s="213">
        <f t="shared" si="145"/>
        <v>0</v>
      </c>
      <c r="BF159" s="215">
        <f t="shared" si="146"/>
        <v>0</v>
      </c>
      <c r="BG159" s="215">
        <f t="shared" si="147"/>
        <v>0</v>
      </c>
      <c r="BH159" s="215" t="str">
        <f t="shared" si="148"/>
        <v/>
      </c>
      <c r="BI159" s="215" t="str">
        <f t="shared" si="149"/>
        <v/>
      </c>
      <c r="BJ159" s="215" t="str">
        <f t="shared" si="150"/>
        <v/>
      </c>
      <c r="BK159" s="215" t="str">
        <f t="shared" si="151"/>
        <v/>
      </c>
      <c r="BL159" s="215" t="str">
        <f t="shared" si="152"/>
        <v/>
      </c>
      <c r="BM159" s="216"/>
      <c r="BN159" s="214"/>
      <c r="BO159" s="215">
        <f t="shared" si="153"/>
        <v>0</v>
      </c>
      <c r="BP159" s="215">
        <f t="shared" si="154"/>
        <v>0</v>
      </c>
      <c r="BQ159" s="215" t="str">
        <f t="shared" si="162"/>
        <v>Adler Nürnberg 1</v>
      </c>
      <c r="BR159" s="214">
        <f t="shared" si="155"/>
        <v>2</v>
      </c>
      <c r="BS159" s="215">
        <f t="shared" si="156"/>
        <v>0</v>
      </c>
      <c r="BT159" s="215">
        <f>IF(COUNTIF(BH159:BL159,"&gt;0")&lt;Spielorte!$A$23,0,BE159/Spielorte!$A$23)</f>
        <v>0</v>
      </c>
      <c r="BU159" s="215">
        <f t="shared" si="157"/>
        <v>0</v>
      </c>
      <c r="BV159" s="214">
        <f t="shared" si="158"/>
        <v>0</v>
      </c>
    </row>
    <row r="160" spans="1:74" ht="17.100000000000001" customHeight="1" x14ac:dyDescent="0.2">
      <c r="A160" s="373" t="s">
        <v>2</v>
      </c>
      <c r="B160" s="17" t="str">
        <f t="shared" si="159"/>
        <v>Schmitt, Peter</v>
      </c>
      <c r="C160" s="18">
        <f t="shared" si="160"/>
        <v>7761</v>
      </c>
      <c r="D160" s="14">
        <f t="shared" si="161"/>
        <v>167</v>
      </c>
      <c r="E160" s="352">
        <f>IF(V160="","",V160)</f>
        <v>0</v>
      </c>
      <c r="F160" s="14">
        <f t="shared" si="138"/>
        <v>178</v>
      </c>
      <c r="G160" s="352">
        <f>IF(X160="","",X160)</f>
        <v>1</v>
      </c>
      <c r="H160" s="14">
        <f t="shared" si="139"/>
        <v>164</v>
      </c>
      <c r="I160" s="352">
        <f>IF(Z160="","",Z160)</f>
        <v>1</v>
      </c>
      <c r="J160" s="14">
        <f t="shared" si="140"/>
        <v>156</v>
      </c>
      <c r="K160" s="352">
        <f>IF(AB160="","",AB160)</f>
        <v>1</v>
      </c>
      <c r="L160" s="14">
        <f t="shared" si="141"/>
        <v>150</v>
      </c>
      <c r="M160" s="352">
        <f>IF(AD160="","",AD160)</f>
        <v>0</v>
      </c>
      <c r="N160" s="14">
        <f t="shared" si="142"/>
        <v>815</v>
      </c>
      <c r="O160" s="352">
        <f>IF(AF160="","",AF160)</f>
        <v>3</v>
      </c>
      <c r="R160" s="355" t="s">
        <v>2</v>
      </c>
      <c r="S160" s="68" t="str">
        <f>IF(T160=0,"",VLOOKUP(T160,Starter!$A$1:$D$196,2,FALSE))</f>
        <v>Schmitt, Peter</v>
      </c>
      <c r="T160" s="178">
        <v>7761</v>
      </c>
      <c r="U160" s="186">
        <v>167</v>
      </c>
      <c r="V160" s="95">
        <f>IF(SUM(U160:U162)+U176=0,0,IF(ABS(SUM(U160:U162))=U176,0.5,IF(ABS(SUM(U160:U162))&gt;U176,1,0)))</f>
        <v>0</v>
      </c>
      <c r="W160" s="186">
        <v>178</v>
      </c>
      <c r="X160" s="95">
        <f>IF(SUM(W160:W162)+W176=0,0,IF(ABS(SUM(W160:W162))=W176,0.5,IF(ABS(SUM(W160:W162))&gt;W176,1,0)))</f>
        <v>1</v>
      </c>
      <c r="Y160" s="186">
        <v>164</v>
      </c>
      <c r="Z160" s="95">
        <f>IF(SUM(Y160:Y162)+Y176=0,0,IF(ABS(SUM(Y160:Y162))=Y176,0.5,IF(ABS(SUM(Y160:Y162))&gt;Y176,1,0)))</f>
        <v>1</v>
      </c>
      <c r="AA160" s="186">
        <v>156</v>
      </c>
      <c r="AB160" s="95">
        <f>IF(SUM(AA160:AA162)+AA176=0,0,IF(ABS(SUM(AA160:AA162))=AA176,0.5,IF(ABS(SUM(AA160:AA162))&gt;AA176,1,0)))</f>
        <v>1</v>
      </c>
      <c r="AC160" s="186">
        <v>150</v>
      </c>
      <c r="AD160" s="95">
        <f>IF(SUM(AC160:AC162)+AC176=0,0,IF(ABS(SUM(AC160:AC162))=AC176,0.5,IF(ABS(SUM(AC160:AC162))&gt;AC176,1,0)))</f>
        <v>0</v>
      </c>
      <c r="AE160" s="195">
        <f t="shared" si="143"/>
        <v>815</v>
      </c>
      <c r="AF160" s="180">
        <f>SUM(V160+X160+Z160+AB160+AD160)</f>
        <v>3</v>
      </c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212"/>
      <c r="BB160" s="213"/>
      <c r="BC160" s="214"/>
      <c r="BD160" s="217">
        <f t="shared" si="144"/>
        <v>7761</v>
      </c>
      <c r="BE160" s="213">
        <f t="shared" si="145"/>
        <v>815</v>
      </c>
      <c r="BF160" s="215">
        <f t="shared" si="146"/>
        <v>5</v>
      </c>
      <c r="BG160" s="215">
        <f t="shared" si="147"/>
        <v>5</v>
      </c>
      <c r="BH160" s="215">
        <f t="shared" si="148"/>
        <v>167</v>
      </c>
      <c r="BI160" s="215">
        <f t="shared" si="149"/>
        <v>178</v>
      </c>
      <c r="BJ160" s="215">
        <f t="shared" si="150"/>
        <v>164</v>
      </c>
      <c r="BK160" s="215">
        <f t="shared" si="151"/>
        <v>156</v>
      </c>
      <c r="BL160" s="215">
        <f t="shared" si="152"/>
        <v>150</v>
      </c>
      <c r="BM160" s="216"/>
      <c r="BN160" s="214"/>
      <c r="BO160" s="215">
        <f t="shared" si="153"/>
        <v>178</v>
      </c>
      <c r="BP160" s="215">
        <f t="shared" si="154"/>
        <v>0</v>
      </c>
      <c r="BQ160" s="215" t="str">
        <f t="shared" si="162"/>
        <v>Adler Nürnberg 1</v>
      </c>
      <c r="BR160" s="214">
        <f t="shared" si="155"/>
        <v>2</v>
      </c>
      <c r="BS160" s="215">
        <f t="shared" si="156"/>
        <v>815</v>
      </c>
      <c r="BT160" s="215">
        <f>IF(COUNTIF(BH160:BL160,"&gt;0")&lt;Spielorte!$A$23,0,BE160/Spielorte!$A$23)</f>
        <v>163</v>
      </c>
      <c r="BU160" s="215">
        <f t="shared" si="157"/>
        <v>0</v>
      </c>
      <c r="BV160" s="214">
        <f t="shared" si="158"/>
        <v>0</v>
      </c>
    </row>
    <row r="161" spans="1:74" ht="17.100000000000001" customHeight="1" x14ac:dyDescent="0.2">
      <c r="A161" s="374"/>
      <c r="B161" s="19" t="str">
        <f t="shared" si="159"/>
        <v/>
      </c>
      <c r="C161" s="20" t="str">
        <f t="shared" si="160"/>
        <v/>
      </c>
      <c r="D161" s="15" t="str">
        <f t="shared" si="161"/>
        <v/>
      </c>
      <c r="E161" s="353"/>
      <c r="F161" s="15" t="str">
        <f t="shared" si="138"/>
        <v/>
      </c>
      <c r="G161" s="353"/>
      <c r="H161" s="15" t="str">
        <f t="shared" si="139"/>
        <v/>
      </c>
      <c r="I161" s="353"/>
      <c r="J161" s="15" t="str">
        <f t="shared" si="140"/>
        <v/>
      </c>
      <c r="K161" s="353"/>
      <c r="L161" s="15" t="str">
        <f t="shared" si="141"/>
        <v/>
      </c>
      <c r="M161" s="353"/>
      <c r="N161" s="15" t="str">
        <f t="shared" si="142"/>
        <v/>
      </c>
      <c r="O161" s="353"/>
      <c r="R161" s="356"/>
      <c r="S161" s="68" t="str">
        <f>IF(T161=0,"",VLOOKUP(T161,Starter!$A$1:$D$196,2,FALSE))</f>
        <v/>
      </c>
      <c r="T161" s="176"/>
      <c r="U161" s="184"/>
      <c r="V161" s="96"/>
      <c r="W161" s="184"/>
      <c r="X161" s="96"/>
      <c r="Y161" s="184"/>
      <c r="Z161" s="96"/>
      <c r="AA161" s="184"/>
      <c r="AB161" s="96"/>
      <c r="AC161" s="184"/>
      <c r="AD161" s="96"/>
      <c r="AE161" s="196">
        <f t="shared" si="143"/>
        <v>0</v>
      </c>
      <c r="AF161" s="181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212"/>
      <c r="BB161" s="213"/>
      <c r="BC161" s="214"/>
      <c r="BD161" s="217">
        <f t="shared" si="144"/>
        <v>0</v>
      </c>
      <c r="BE161" s="213">
        <f t="shared" si="145"/>
        <v>0</v>
      </c>
      <c r="BF161" s="215">
        <f t="shared" si="146"/>
        <v>0</v>
      </c>
      <c r="BG161" s="215">
        <f t="shared" si="147"/>
        <v>0</v>
      </c>
      <c r="BH161" s="215" t="str">
        <f t="shared" si="148"/>
        <v/>
      </c>
      <c r="BI161" s="215" t="str">
        <f t="shared" si="149"/>
        <v/>
      </c>
      <c r="BJ161" s="215" t="str">
        <f t="shared" si="150"/>
        <v/>
      </c>
      <c r="BK161" s="215" t="str">
        <f t="shared" si="151"/>
        <v/>
      </c>
      <c r="BL161" s="215" t="str">
        <f t="shared" si="152"/>
        <v/>
      </c>
      <c r="BM161" s="216"/>
      <c r="BN161" s="214"/>
      <c r="BO161" s="215">
        <f t="shared" si="153"/>
        <v>0</v>
      </c>
      <c r="BP161" s="215">
        <f t="shared" si="154"/>
        <v>0</v>
      </c>
      <c r="BQ161" s="215" t="str">
        <f t="shared" si="162"/>
        <v>Adler Nürnberg 1</v>
      </c>
      <c r="BR161" s="214">
        <f t="shared" si="155"/>
        <v>2</v>
      </c>
      <c r="BS161" s="215">
        <f t="shared" si="156"/>
        <v>0</v>
      </c>
      <c r="BT161" s="215">
        <f>IF(COUNTIF(BH161:BL161,"&gt;0")&lt;Spielorte!$A$23,0,BE161/Spielorte!$A$23)</f>
        <v>0</v>
      </c>
      <c r="BU161" s="215">
        <f t="shared" si="157"/>
        <v>0</v>
      </c>
      <c r="BV161" s="214">
        <f t="shared" si="158"/>
        <v>0</v>
      </c>
    </row>
    <row r="162" spans="1:74" ht="17.100000000000001" customHeight="1" thickBot="1" x14ac:dyDescent="0.25">
      <c r="A162" s="375"/>
      <c r="B162" s="21" t="str">
        <f t="shared" si="159"/>
        <v/>
      </c>
      <c r="C162" s="22" t="str">
        <f t="shared" si="160"/>
        <v/>
      </c>
      <c r="D162" s="9" t="str">
        <f t="shared" si="161"/>
        <v/>
      </c>
      <c r="E162" s="354"/>
      <c r="F162" s="9" t="str">
        <f t="shared" si="138"/>
        <v/>
      </c>
      <c r="G162" s="354"/>
      <c r="H162" s="9" t="str">
        <f t="shared" si="139"/>
        <v/>
      </c>
      <c r="I162" s="354"/>
      <c r="J162" s="9" t="str">
        <f t="shared" si="140"/>
        <v/>
      </c>
      <c r="K162" s="354"/>
      <c r="L162" s="9" t="str">
        <f t="shared" si="141"/>
        <v/>
      </c>
      <c r="M162" s="354"/>
      <c r="N162" s="9" t="str">
        <f t="shared" si="142"/>
        <v/>
      </c>
      <c r="O162" s="354"/>
      <c r="R162" s="357"/>
      <c r="S162" s="70" t="str">
        <f>IF(T162=0,"",VLOOKUP(T162,Starter!$A$1:$D$196,2,FALSE))</f>
        <v/>
      </c>
      <c r="T162" s="179"/>
      <c r="U162" s="187"/>
      <c r="V162" s="97"/>
      <c r="W162" s="187"/>
      <c r="X162" s="97"/>
      <c r="Y162" s="187"/>
      <c r="Z162" s="97"/>
      <c r="AA162" s="187"/>
      <c r="AB162" s="97"/>
      <c r="AC162" s="187"/>
      <c r="AD162" s="97"/>
      <c r="AE162" s="197">
        <f t="shared" si="143"/>
        <v>0</v>
      </c>
      <c r="AF162" s="182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212"/>
      <c r="BB162" s="213"/>
      <c r="BC162" s="214"/>
      <c r="BD162" s="217">
        <f t="shared" si="144"/>
        <v>0</v>
      </c>
      <c r="BE162" s="213">
        <f t="shared" si="145"/>
        <v>0</v>
      </c>
      <c r="BF162" s="215">
        <f t="shared" si="146"/>
        <v>0</v>
      </c>
      <c r="BG162" s="215">
        <f t="shared" si="147"/>
        <v>0</v>
      </c>
      <c r="BH162" s="215" t="str">
        <f t="shared" si="148"/>
        <v/>
      </c>
      <c r="BI162" s="215" t="str">
        <f t="shared" si="149"/>
        <v/>
      </c>
      <c r="BJ162" s="215" t="str">
        <f t="shared" si="150"/>
        <v/>
      </c>
      <c r="BK162" s="215" t="str">
        <f t="shared" si="151"/>
        <v/>
      </c>
      <c r="BL162" s="215" t="str">
        <f t="shared" si="152"/>
        <v/>
      </c>
      <c r="BM162" s="216"/>
      <c r="BN162" s="214"/>
      <c r="BO162" s="215">
        <f t="shared" si="153"/>
        <v>0</v>
      </c>
      <c r="BP162" s="215">
        <f t="shared" si="154"/>
        <v>0</v>
      </c>
      <c r="BQ162" s="215" t="str">
        <f t="shared" si="162"/>
        <v>Adler Nürnberg 1</v>
      </c>
      <c r="BR162" s="214">
        <f t="shared" si="155"/>
        <v>2</v>
      </c>
      <c r="BS162" s="215">
        <f t="shared" si="156"/>
        <v>0</v>
      </c>
      <c r="BT162" s="215">
        <f>IF(COUNTIF(BH162:BL162,"&gt;0")&lt;Spielorte!$A$23,0,BE162/Spielorte!$A$23)</f>
        <v>0</v>
      </c>
      <c r="BU162" s="215">
        <f t="shared" si="157"/>
        <v>0</v>
      </c>
      <c r="BV162" s="214">
        <f t="shared" si="158"/>
        <v>0</v>
      </c>
    </row>
    <row r="163" spans="1:74" ht="17.100000000000001" customHeight="1" x14ac:dyDescent="0.2">
      <c r="A163" s="373" t="s">
        <v>3</v>
      </c>
      <c r="B163" s="17" t="str">
        <f t="shared" si="159"/>
        <v>Schmelzl, Werner</v>
      </c>
      <c r="C163" s="18">
        <f t="shared" si="160"/>
        <v>25811</v>
      </c>
      <c r="D163" s="14">
        <f t="shared" si="161"/>
        <v>175</v>
      </c>
      <c r="E163" s="352">
        <f>IF(V163="","",V163)</f>
        <v>1</v>
      </c>
      <c r="F163" s="14">
        <f t="shared" si="138"/>
        <v>155</v>
      </c>
      <c r="G163" s="352">
        <f>IF(X163="","",X163)</f>
        <v>1</v>
      </c>
      <c r="H163" s="14">
        <f t="shared" si="139"/>
        <v>177</v>
      </c>
      <c r="I163" s="352">
        <f>IF(Z163="","",Z163)</f>
        <v>1</v>
      </c>
      <c r="J163" s="14">
        <f t="shared" si="140"/>
        <v>212</v>
      </c>
      <c r="K163" s="352">
        <f>IF(AB163="","",AB163)</f>
        <v>1</v>
      </c>
      <c r="L163" s="14">
        <f t="shared" si="141"/>
        <v>192</v>
      </c>
      <c r="M163" s="352">
        <f>IF(AD163="","",AD163)</f>
        <v>1</v>
      </c>
      <c r="N163" s="14">
        <f t="shared" si="142"/>
        <v>911</v>
      </c>
      <c r="O163" s="352">
        <f>IF(AF163="","",AF163)</f>
        <v>5</v>
      </c>
      <c r="R163" s="355" t="s">
        <v>3</v>
      </c>
      <c r="S163" s="68" t="str">
        <f>IF(T163=0,"",VLOOKUP(T163,Starter!$A$1:$D$196,2,FALSE))</f>
        <v>Schmelzl, Werner</v>
      </c>
      <c r="T163" s="178">
        <v>25811</v>
      </c>
      <c r="U163" s="186">
        <v>175</v>
      </c>
      <c r="V163" s="95">
        <f>IF(SUM(U163:U165)+U177=0,0,IF(ABS(SUM(U163:U165))=U177,0.5,IF(ABS(SUM(U163:U165))&gt;U177,1,0)))</f>
        <v>1</v>
      </c>
      <c r="W163" s="186">
        <v>155</v>
      </c>
      <c r="X163" s="95">
        <f>IF(SUM(W163:W165)+W177=0,0,IF(ABS(SUM(W163:W165))=W177,0.5,IF(ABS(SUM(W163:W165))&gt;W177,1,0)))</f>
        <v>1</v>
      </c>
      <c r="Y163" s="186">
        <v>177</v>
      </c>
      <c r="Z163" s="95">
        <f>IF(SUM(Y163:Y165)+Y177=0,0,IF(ABS(SUM(Y163:Y165))=Y177,0.5,IF(ABS(SUM(Y163:Y165))&gt;Y177,1,0)))</f>
        <v>1</v>
      </c>
      <c r="AA163" s="186">
        <v>212</v>
      </c>
      <c r="AB163" s="95">
        <f>IF(SUM(AA163:AA165)+AA177=0,0,IF(ABS(SUM(AA163:AA165))=AA177,0.5,IF(ABS(SUM(AA163:AA165))&gt;AA177,1,0)))</f>
        <v>1</v>
      </c>
      <c r="AC163" s="186">
        <v>192</v>
      </c>
      <c r="AD163" s="95">
        <f>IF(SUM(AC163:AC165)+AC177=0,0,IF(ABS(SUM(AC163:AC165))=AC177,0.5,IF(ABS(SUM(AC163:AC165))&gt;AC177,1,0)))</f>
        <v>1</v>
      </c>
      <c r="AE163" s="195">
        <f t="shared" si="143"/>
        <v>911</v>
      </c>
      <c r="AF163" s="180">
        <f>SUM(V163+X163+Z163+AB163+AD163)</f>
        <v>5</v>
      </c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212"/>
      <c r="BB163" s="213"/>
      <c r="BC163" s="214"/>
      <c r="BD163" s="217">
        <f t="shared" si="144"/>
        <v>25811</v>
      </c>
      <c r="BE163" s="213">
        <f t="shared" si="145"/>
        <v>911</v>
      </c>
      <c r="BF163" s="215">
        <f t="shared" si="146"/>
        <v>5</v>
      </c>
      <c r="BG163" s="215">
        <f t="shared" si="147"/>
        <v>5</v>
      </c>
      <c r="BH163" s="215">
        <f t="shared" si="148"/>
        <v>175</v>
      </c>
      <c r="BI163" s="215">
        <f t="shared" si="149"/>
        <v>155</v>
      </c>
      <c r="BJ163" s="215">
        <f t="shared" si="150"/>
        <v>177</v>
      </c>
      <c r="BK163" s="215">
        <f t="shared" si="151"/>
        <v>212</v>
      </c>
      <c r="BL163" s="215">
        <f t="shared" si="152"/>
        <v>192</v>
      </c>
      <c r="BM163" s="216"/>
      <c r="BN163" s="214"/>
      <c r="BO163" s="215">
        <f t="shared" si="153"/>
        <v>212</v>
      </c>
      <c r="BP163" s="215">
        <f t="shared" si="154"/>
        <v>0</v>
      </c>
      <c r="BQ163" s="215" t="str">
        <f t="shared" si="162"/>
        <v>Adler Nürnberg 1</v>
      </c>
      <c r="BR163" s="214">
        <f t="shared" si="155"/>
        <v>2</v>
      </c>
      <c r="BS163" s="215">
        <f t="shared" si="156"/>
        <v>911</v>
      </c>
      <c r="BT163" s="215">
        <f>IF(COUNTIF(BH163:BL163,"&gt;0")&lt;Spielorte!$A$23,0,BE163/Spielorte!$A$23)</f>
        <v>182.2</v>
      </c>
      <c r="BU163" s="215">
        <f t="shared" si="157"/>
        <v>0</v>
      </c>
      <c r="BV163" s="214">
        <f t="shared" si="158"/>
        <v>0</v>
      </c>
    </row>
    <row r="164" spans="1:74" ht="17.100000000000001" customHeight="1" x14ac:dyDescent="0.2">
      <c r="A164" s="374"/>
      <c r="B164" s="19" t="str">
        <f t="shared" si="159"/>
        <v/>
      </c>
      <c r="C164" s="20" t="str">
        <f t="shared" si="160"/>
        <v/>
      </c>
      <c r="D164" s="15" t="str">
        <f t="shared" si="161"/>
        <v/>
      </c>
      <c r="E164" s="353"/>
      <c r="F164" s="15" t="str">
        <f t="shared" si="138"/>
        <v/>
      </c>
      <c r="G164" s="353"/>
      <c r="H164" s="15" t="str">
        <f t="shared" si="139"/>
        <v/>
      </c>
      <c r="I164" s="353"/>
      <c r="J164" s="15" t="str">
        <f t="shared" si="140"/>
        <v/>
      </c>
      <c r="K164" s="353"/>
      <c r="L164" s="15" t="str">
        <f t="shared" si="141"/>
        <v/>
      </c>
      <c r="M164" s="353"/>
      <c r="N164" s="15" t="str">
        <f t="shared" si="142"/>
        <v/>
      </c>
      <c r="O164" s="353"/>
      <c r="R164" s="356"/>
      <c r="S164" s="68" t="str">
        <f>IF(T164=0,"",VLOOKUP(T164,Starter!$A$1:$D$196,2,FALSE))</f>
        <v/>
      </c>
      <c r="T164" s="176"/>
      <c r="U164" s="184"/>
      <c r="V164" s="96"/>
      <c r="W164" s="184"/>
      <c r="X164" s="96"/>
      <c r="Y164" s="184"/>
      <c r="Z164" s="96"/>
      <c r="AA164" s="184"/>
      <c r="AB164" s="96"/>
      <c r="AC164" s="184"/>
      <c r="AD164" s="96"/>
      <c r="AE164" s="196">
        <f t="shared" si="143"/>
        <v>0</v>
      </c>
      <c r="AF164" s="181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212"/>
      <c r="BB164" s="213"/>
      <c r="BC164" s="214"/>
      <c r="BD164" s="217">
        <f t="shared" si="144"/>
        <v>0</v>
      </c>
      <c r="BE164" s="213">
        <f t="shared" si="145"/>
        <v>0</v>
      </c>
      <c r="BF164" s="215">
        <f t="shared" si="146"/>
        <v>0</v>
      </c>
      <c r="BG164" s="215">
        <f t="shared" si="147"/>
        <v>0</v>
      </c>
      <c r="BH164" s="215" t="str">
        <f t="shared" si="148"/>
        <v/>
      </c>
      <c r="BI164" s="215" t="str">
        <f t="shared" si="149"/>
        <v/>
      </c>
      <c r="BJ164" s="215" t="str">
        <f t="shared" si="150"/>
        <v/>
      </c>
      <c r="BK164" s="215" t="str">
        <f t="shared" si="151"/>
        <v/>
      </c>
      <c r="BL164" s="215" t="str">
        <f t="shared" si="152"/>
        <v/>
      </c>
      <c r="BM164" s="216"/>
      <c r="BN164" s="214"/>
      <c r="BO164" s="215">
        <f t="shared" si="153"/>
        <v>0</v>
      </c>
      <c r="BP164" s="215">
        <f t="shared" si="154"/>
        <v>0</v>
      </c>
      <c r="BQ164" s="215" t="str">
        <f t="shared" si="162"/>
        <v>Adler Nürnberg 1</v>
      </c>
      <c r="BR164" s="214">
        <f t="shared" si="155"/>
        <v>2</v>
      </c>
      <c r="BS164" s="215">
        <f t="shared" si="156"/>
        <v>0</v>
      </c>
      <c r="BT164" s="215">
        <f>IF(COUNTIF(BH164:BL164,"&gt;0")&lt;Spielorte!$A$23,0,BE164/Spielorte!$A$23)</f>
        <v>0</v>
      </c>
      <c r="BU164" s="215">
        <f t="shared" si="157"/>
        <v>0</v>
      </c>
      <c r="BV164" s="214">
        <f t="shared" si="158"/>
        <v>0</v>
      </c>
    </row>
    <row r="165" spans="1:74" ht="17.100000000000001" customHeight="1" thickBot="1" x14ac:dyDescent="0.25">
      <c r="A165" s="375"/>
      <c r="B165" s="21" t="str">
        <f t="shared" si="159"/>
        <v/>
      </c>
      <c r="C165" s="22" t="str">
        <f t="shared" si="160"/>
        <v/>
      </c>
      <c r="D165" s="9" t="str">
        <f t="shared" si="161"/>
        <v/>
      </c>
      <c r="E165" s="354"/>
      <c r="F165" s="9" t="str">
        <f t="shared" si="138"/>
        <v/>
      </c>
      <c r="G165" s="354"/>
      <c r="H165" s="9" t="str">
        <f t="shared" si="139"/>
        <v/>
      </c>
      <c r="I165" s="354"/>
      <c r="J165" s="9" t="str">
        <f t="shared" si="140"/>
        <v/>
      </c>
      <c r="K165" s="354"/>
      <c r="L165" s="9" t="str">
        <f t="shared" si="141"/>
        <v/>
      </c>
      <c r="M165" s="354"/>
      <c r="N165" s="9" t="str">
        <f t="shared" si="142"/>
        <v/>
      </c>
      <c r="O165" s="354"/>
      <c r="R165" s="357"/>
      <c r="S165" s="70" t="str">
        <f>IF(T165=0,"",VLOOKUP(T165,Starter!$A$1:$D$196,2,FALSE))</f>
        <v/>
      </c>
      <c r="T165" s="179"/>
      <c r="U165" s="187"/>
      <c r="V165" s="97"/>
      <c r="W165" s="187"/>
      <c r="X165" s="97"/>
      <c r="Y165" s="187"/>
      <c r="Z165" s="97"/>
      <c r="AA165" s="187"/>
      <c r="AB165" s="97"/>
      <c r="AC165" s="187"/>
      <c r="AD165" s="97"/>
      <c r="AE165" s="197">
        <f t="shared" si="143"/>
        <v>0</v>
      </c>
      <c r="AF165" s="182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212"/>
      <c r="BB165" s="213"/>
      <c r="BC165" s="214"/>
      <c r="BD165" s="217">
        <f t="shared" si="144"/>
        <v>0</v>
      </c>
      <c r="BE165" s="213">
        <f t="shared" si="145"/>
        <v>0</v>
      </c>
      <c r="BF165" s="215">
        <f t="shared" si="146"/>
        <v>0</v>
      </c>
      <c r="BG165" s="215">
        <f t="shared" si="147"/>
        <v>0</v>
      </c>
      <c r="BH165" s="215" t="str">
        <f t="shared" si="148"/>
        <v/>
      </c>
      <c r="BI165" s="215" t="str">
        <f t="shared" si="149"/>
        <v/>
      </c>
      <c r="BJ165" s="215" t="str">
        <f t="shared" si="150"/>
        <v/>
      </c>
      <c r="BK165" s="215" t="str">
        <f t="shared" si="151"/>
        <v/>
      </c>
      <c r="BL165" s="215" t="str">
        <f t="shared" si="152"/>
        <v/>
      </c>
      <c r="BM165" s="216"/>
      <c r="BN165" s="214"/>
      <c r="BO165" s="215">
        <f t="shared" si="153"/>
        <v>0</v>
      </c>
      <c r="BP165" s="215">
        <f t="shared" si="154"/>
        <v>0</v>
      </c>
      <c r="BQ165" s="215" t="str">
        <f t="shared" si="162"/>
        <v>Adler Nürnberg 1</v>
      </c>
      <c r="BR165" s="214">
        <f t="shared" si="155"/>
        <v>2</v>
      </c>
      <c r="BS165" s="215">
        <f t="shared" si="156"/>
        <v>0</v>
      </c>
      <c r="BT165" s="215">
        <f>IF(COUNTIF(BH165:BL165,"&gt;0")&lt;Spielorte!$A$23,0,BE165/Spielorte!$A$23)</f>
        <v>0</v>
      </c>
      <c r="BU165" s="215">
        <f t="shared" si="157"/>
        <v>0</v>
      </c>
      <c r="BV165" s="214">
        <f t="shared" si="158"/>
        <v>0</v>
      </c>
    </row>
    <row r="166" spans="1:74" ht="17.100000000000001" customHeight="1" x14ac:dyDescent="0.2">
      <c r="A166" s="373" t="s">
        <v>11</v>
      </c>
      <c r="B166" s="17" t="str">
        <f>IF(S166=0,"",S166)</f>
        <v>Beier, Thomas</v>
      </c>
      <c r="C166" s="18">
        <f t="shared" si="160"/>
        <v>16707</v>
      </c>
      <c r="D166" s="14">
        <f t="shared" si="161"/>
        <v>151</v>
      </c>
      <c r="E166" s="352">
        <f>IF(V166="","",V166)</f>
        <v>0</v>
      </c>
      <c r="F166" s="14">
        <f t="shared" si="138"/>
        <v>177</v>
      </c>
      <c r="G166" s="352">
        <f>IF(X166="","",X166)</f>
        <v>0</v>
      </c>
      <c r="H166" s="14">
        <f t="shared" si="139"/>
        <v>189</v>
      </c>
      <c r="I166" s="352">
        <f>IF(Z166="","",Z166)</f>
        <v>0.5</v>
      </c>
      <c r="J166" s="14">
        <f t="shared" si="140"/>
        <v>173</v>
      </c>
      <c r="K166" s="352">
        <f>IF(AB166="","",AB166)</f>
        <v>1</v>
      </c>
      <c r="L166" s="14">
        <f t="shared" si="141"/>
        <v>190</v>
      </c>
      <c r="M166" s="352">
        <f>IF(AD166="","",AD166)</f>
        <v>1</v>
      </c>
      <c r="N166" s="14">
        <f t="shared" si="142"/>
        <v>880</v>
      </c>
      <c r="O166" s="352">
        <f>IF(AF166="","",AF166)</f>
        <v>2.5</v>
      </c>
      <c r="R166" s="355" t="s">
        <v>11</v>
      </c>
      <c r="S166" s="68" t="str">
        <f>IF(T166=0,"",VLOOKUP(T166,Starter!$A$1:$D$196,2,FALSE))</f>
        <v>Beier, Thomas</v>
      </c>
      <c r="T166" s="178">
        <v>16707</v>
      </c>
      <c r="U166" s="186">
        <v>151</v>
      </c>
      <c r="V166" s="95">
        <f>IF(SUM(U166:U168)+U178=0,0,IF(ABS(SUM(U166:U168))=U178,0.5,IF(ABS(SUM(U166:U168))&gt;U178,1,0)))</f>
        <v>0</v>
      </c>
      <c r="W166" s="186">
        <v>177</v>
      </c>
      <c r="X166" s="95">
        <f>IF(SUM(W166:W168)+W178=0,0,IF(ABS(SUM(W166:W168))=W178,0.5,IF(ABS(SUM(W166:W168))&gt;W178,1,0)))</f>
        <v>0</v>
      </c>
      <c r="Y166" s="186">
        <v>189</v>
      </c>
      <c r="Z166" s="95">
        <f>IF(SUM(Y166:Y168)+Y178=0,0,IF(ABS(SUM(Y166:Y168))=Y178,0.5,IF(ABS(SUM(Y166:Y168))&gt;Y178,1,0)))</f>
        <v>0.5</v>
      </c>
      <c r="AA166" s="186">
        <v>173</v>
      </c>
      <c r="AB166" s="95">
        <f>IF(SUM(AA166:AA168)+AA178=0,0,IF(ABS(SUM(AA166:AA168))=AA178,0.5,IF(ABS(SUM(AA166:AA168))&gt;AA178,1,0)))</f>
        <v>1</v>
      </c>
      <c r="AC166" s="186">
        <v>190</v>
      </c>
      <c r="AD166" s="95">
        <f>IF(SUM(AC166:AC168)+AC178=0,0,IF(ABS(SUM(AC166:AC168))=AC178,0.5,IF(ABS(SUM(AC166:AC168))&gt;AC178,1,0)))</f>
        <v>1</v>
      </c>
      <c r="AE166" s="195">
        <f t="shared" si="143"/>
        <v>880</v>
      </c>
      <c r="AF166" s="180">
        <f>SUM(V166+X166+Z166+AB166+AD166)</f>
        <v>2.5</v>
      </c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212"/>
      <c r="BB166" s="213"/>
      <c r="BC166" s="214"/>
      <c r="BD166" s="217">
        <f t="shared" si="144"/>
        <v>16707</v>
      </c>
      <c r="BE166" s="213">
        <f t="shared" si="145"/>
        <v>880</v>
      </c>
      <c r="BF166" s="215">
        <f t="shared" si="146"/>
        <v>5</v>
      </c>
      <c r="BG166" s="215">
        <f t="shared" si="147"/>
        <v>5</v>
      </c>
      <c r="BH166" s="215">
        <f t="shared" si="148"/>
        <v>151</v>
      </c>
      <c r="BI166" s="215">
        <f t="shared" si="149"/>
        <v>177</v>
      </c>
      <c r="BJ166" s="215">
        <f t="shared" si="150"/>
        <v>189</v>
      </c>
      <c r="BK166" s="215">
        <f t="shared" si="151"/>
        <v>173</v>
      </c>
      <c r="BL166" s="215">
        <f t="shared" si="152"/>
        <v>190</v>
      </c>
      <c r="BM166" s="216"/>
      <c r="BN166" s="214"/>
      <c r="BO166" s="215">
        <f t="shared" si="153"/>
        <v>190</v>
      </c>
      <c r="BP166" s="215">
        <f t="shared" si="154"/>
        <v>0</v>
      </c>
      <c r="BQ166" s="215" t="str">
        <f t="shared" si="162"/>
        <v>Adler Nürnberg 1</v>
      </c>
      <c r="BR166" s="214">
        <f t="shared" si="155"/>
        <v>2</v>
      </c>
      <c r="BS166" s="215">
        <f t="shared" si="156"/>
        <v>880</v>
      </c>
      <c r="BT166" s="215">
        <f>IF(COUNTIF(BH166:BL166,"&gt;0")&lt;Spielorte!$A$23,0,BE166/Spielorte!$A$23)</f>
        <v>176</v>
      </c>
      <c r="BU166" s="215">
        <f t="shared" si="157"/>
        <v>0</v>
      </c>
      <c r="BV166" s="214">
        <f t="shared" si="158"/>
        <v>0</v>
      </c>
    </row>
    <row r="167" spans="1:74" ht="17.100000000000001" customHeight="1" x14ac:dyDescent="0.2">
      <c r="A167" s="374"/>
      <c r="B167" s="19" t="str">
        <f>IF(S167=0,"",S167)</f>
        <v/>
      </c>
      <c r="C167" s="20" t="str">
        <f t="shared" si="160"/>
        <v/>
      </c>
      <c r="D167" s="15" t="str">
        <f t="shared" si="161"/>
        <v/>
      </c>
      <c r="E167" s="353"/>
      <c r="F167" s="15" t="str">
        <f t="shared" si="138"/>
        <v/>
      </c>
      <c r="G167" s="353"/>
      <c r="H167" s="15" t="str">
        <f t="shared" si="139"/>
        <v/>
      </c>
      <c r="I167" s="353"/>
      <c r="J167" s="15" t="str">
        <f t="shared" si="140"/>
        <v/>
      </c>
      <c r="K167" s="353"/>
      <c r="L167" s="15" t="str">
        <f t="shared" si="141"/>
        <v/>
      </c>
      <c r="M167" s="353"/>
      <c r="N167" s="15" t="str">
        <f t="shared" si="142"/>
        <v/>
      </c>
      <c r="O167" s="353"/>
      <c r="R167" s="356"/>
      <c r="S167" s="68" t="str">
        <f>IF(T167=0,"",VLOOKUP(T167,Starter!$A$1:$D$196,2,FALSE))</f>
        <v/>
      </c>
      <c r="T167" s="176"/>
      <c r="U167" s="184"/>
      <c r="V167" s="96"/>
      <c r="W167" s="184"/>
      <c r="X167" s="96"/>
      <c r="Y167" s="184"/>
      <c r="Z167" s="96"/>
      <c r="AA167" s="184"/>
      <c r="AB167" s="96"/>
      <c r="AC167" s="184"/>
      <c r="AD167" s="96"/>
      <c r="AE167" s="196">
        <f t="shared" si="143"/>
        <v>0</v>
      </c>
      <c r="AF167" s="181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212"/>
      <c r="BB167" s="213"/>
      <c r="BC167" s="214"/>
      <c r="BD167" s="217">
        <f t="shared" si="144"/>
        <v>0</v>
      </c>
      <c r="BE167" s="213">
        <f t="shared" si="145"/>
        <v>0</v>
      </c>
      <c r="BF167" s="215">
        <f t="shared" si="146"/>
        <v>0</v>
      </c>
      <c r="BG167" s="215">
        <f t="shared" si="147"/>
        <v>0</v>
      </c>
      <c r="BH167" s="215" t="str">
        <f t="shared" si="148"/>
        <v/>
      </c>
      <c r="BI167" s="215" t="str">
        <f t="shared" si="149"/>
        <v/>
      </c>
      <c r="BJ167" s="215" t="str">
        <f t="shared" si="150"/>
        <v/>
      </c>
      <c r="BK167" s="215" t="str">
        <f t="shared" si="151"/>
        <v/>
      </c>
      <c r="BL167" s="215" t="str">
        <f t="shared" si="152"/>
        <v/>
      </c>
      <c r="BM167" s="216"/>
      <c r="BN167" s="214"/>
      <c r="BO167" s="215">
        <f t="shared" si="153"/>
        <v>0</v>
      </c>
      <c r="BP167" s="215">
        <f t="shared" si="154"/>
        <v>0</v>
      </c>
      <c r="BQ167" s="215" t="str">
        <f t="shared" si="162"/>
        <v>Adler Nürnberg 1</v>
      </c>
      <c r="BR167" s="214">
        <f t="shared" si="155"/>
        <v>2</v>
      </c>
      <c r="BS167" s="215">
        <f t="shared" si="156"/>
        <v>0</v>
      </c>
      <c r="BT167" s="215">
        <f>IF(COUNTIF(BH167:BL167,"&gt;0")&lt;Spielorte!$A$23,0,BE167/Spielorte!$A$23)</f>
        <v>0</v>
      </c>
      <c r="BU167" s="215">
        <f t="shared" si="157"/>
        <v>0</v>
      </c>
      <c r="BV167" s="214">
        <f t="shared" si="158"/>
        <v>0</v>
      </c>
    </row>
    <row r="168" spans="1:74" ht="17.100000000000001" customHeight="1" thickBot="1" x14ac:dyDescent="0.25">
      <c r="A168" s="375"/>
      <c r="B168" s="21" t="str">
        <f>IF(S168=0,"",S168)</f>
        <v/>
      </c>
      <c r="C168" s="22" t="str">
        <f t="shared" si="160"/>
        <v/>
      </c>
      <c r="D168" s="9" t="str">
        <f t="shared" si="161"/>
        <v/>
      </c>
      <c r="E168" s="354"/>
      <c r="F168" s="9" t="str">
        <f t="shared" si="138"/>
        <v/>
      </c>
      <c r="G168" s="354"/>
      <c r="H168" s="9" t="str">
        <f t="shared" si="139"/>
        <v/>
      </c>
      <c r="I168" s="354"/>
      <c r="J168" s="9" t="str">
        <f t="shared" si="140"/>
        <v/>
      </c>
      <c r="K168" s="354"/>
      <c r="L168" s="9" t="str">
        <f t="shared" si="141"/>
        <v/>
      </c>
      <c r="M168" s="354"/>
      <c r="N168" s="9" t="str">
        <f t="shared" si="142"/>
        <v/>
      </c>
      <c r="O168" s="354"/>
      <c r="R168" s="357"/>
      <c r="S168" s="70" t="str">
        <f>IF(T168=0,"",VLOOKUP(T168,Starter!$A$1:$D$196,2,FALSE))</f>
        <v/>
      </c>
      <c r="T168" s="179"/>
      <c r="U168" s="187"/>
      <c r="V168" s="97"/>
      <c r="W168" s="187"/>
      <c r="X168" s="97"/>
      <c r="Y168" s="187"/>
      <c r="Z168" s="97"/>
      <c r="AA168" s="187"/>
      <c r="AB168" s="97"/>
      <c r="AC168" s="187"/>
      <c r="AD168" s="97"/>
      <c r="AE168" s="197">
        <f t="shared" si="143"/>
        <v>0</v>
      </c>
      <c r="AF168" s="182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212"/>
      <c r="BB168" s="213"/>
      <c r="BC168" s="214"/>
      <c r="BD168" s="217">
        <f t="shared" si="144"/>
        <v>0</v>
      </c>
      <c r="BE168" s="213">
        <f t="shared" si="145"/>
        <v>0</v>
      </c>
      <c r="BF168" s="215">
        <f t="shared" si="146"/>
        <v>0</v>
      </c>
      <c r="BG168" s="215">
        <f t="shared" si="147"/>
        <v>0</v>
      </c>
      <c r="BH168" s="215" t="str">
        <f t="shared" si="148"/>
        <v/>
      </c>
      <c r="BI168" s="215" t="str">
        <f t="shared" si="149"/>
        <v/>
      </c>
      <c r="BJ168" s="215" t="str">
        <f t="shared" si="150"/>
        <v/>
      </c>
      <c r="BK168" s="215" t="str">
        <f t="shared" si="151"/>
        <v/>
      </c>
      <c r="BL168" s="215" t="str">
        <f t="shared" si="152"/>
        <v/>
      </c>
      <c r="BM168" s="216"/>
      <c r="BN168" s="214"/>
      <c r="BO168" s="215">
        <f t="shared" si="153"/>
        <v>0</v>
      </c>
      <c r="BP168" s="215">
        <f t="shared" si="154"/>
        <v>0</v>
      </c>
      <c r="BQ168" s="215" t="str">
        <f t="shared" si="162"/>
        <v>Adler Nürnberg 1</v>
      </c>
      <c r="BR168" s="214">
        <f t="shared" si="155"/>
        <v>2</v>
      </c>
      <c r="BS168" s="215">
        <f t="shared" si="156"/>
        <v>0</v>
      </c>
      <c r="BT168" s="215">
        <f>IF(COUNTIF(BH168:BL168,"&gt;0")&lt;Spielorte!$A$23,0,BE168/Spielorte!$A$23)</f>
        <v>0</v>
      </c>
      <c r="BU168" s="215">
        <f t="shared" si="157"/>
        <v>0</v>
      </c>
      <c r="BV168" s="214">
        <f t="shared" si="158"/>
        <v>0</v>
      </c>
    </row>
    <row r="169" spans="1:74" ht="27.75" customHeight="1" thickBot="1" x14ac:dyDescent="0.25">
      <c r="B169" s="11" t="str">
        <f>IF(S169=0,"",S169)</f>
        <v>Gesamt</v>
      </c>
      <c r="C169" s="26" t="str">
        <f t="shared" si="160"/>
        <v/>
      </c>
      <c r="D169" s="16">
        <f t="shared" si="161"/>
        <v>683</v>
      </c>
      <c r="E169" s="12">
        <f>IF(V169="","",V169)</f>
        <v>0</v>
      </c>
      <c r="F169" s="16">
        <f t="shared" si="138"/>
        <v>678</v>
      </c>
      <c r="G169" s="12">
        <f>IF(X169="","",X169)</f>
        <v>2</v>
      </c>
      <c r="H169" s="16">
        <f t="shared" si="139"/>
        <v>720</v>
      </c>
      <c r="I169" s="12">
        <f>IF(Z169="","",Z169)</f>
        <v>2</v>
      </c>
      <c r="J169" s="16">
        <f t="shared" si="140"/>
        <v>714</v>
      </c>
      <c r="K169" s="12">
        <f>IF(AB169="","",AB169)</f>
        <v>0</v>
      </c>
      <c r="L169" s="16">
        <f t="shared" si="141"/>
        <v>659</v>
      </c>
      <c r="M169" s="12">
        <f>IF(AD169="","",AD169)</f>
        <v>2</v>
      </c>
      <c r="N169" s="16">
        <f t="shared" si="142"/>
        <v>3454</v>
      </c>
      <c r="O169" s="12">
        <f>IF(AF169="","",AF169)</f>
        <v>6</v>
      </c>
      <c r="S169" s="11" t="s">
        <v>1791</v>
      </c>
      <c r="T169" s="71"/>
      <c r="U169" s="188">
        <f>ABS(SUM(U157:U159))+ABS(SUM(U160:U162))+ABS(SUM(U163:U165))+ABS(SUM(U166:U168))</f>
        <v>683</v>
      </c>
      <c r="V169" s="98">
        <f>IF(U169+U179=0,0,IF(U169=U179,1,IF(U169&gt;U179,2,0)))</f>
        <v>0</v>
      </c>
      <c r="W169" s="188">
        <f>ABS(SUM(W157:W159))+ABS(SUM(W160:W162))+ABS(SUM(W163:W165))+ABS(SUM(W166:W168))</f>
        <v>678</v>
      </c>
      <c r="X169" s="98">
        <f>IF(W169+W179=0,0,IF(W169=W179,1,IF(W169&gt;W179,2,0)))</f>
        <v>2</v>
      </c>
      <c r="Y169" s="188">
        <f>ABS(SUM(Y157:Y159))+ABS(SUM(Y160:Y162))+ABS(SUM(Y163:Y165))+ABS(SUM(Y166:Y168))</f>
        <v>720</v>
      </c>
      <c r="Z169" s="98">
        <f>IF(Y169+Y179=0,0,IF(Y169=Y179,1,IF(Y169&gt;Y179,2,0)))</f>
        <v>2</v>
      </c>
      <c r="AA169" s="188">
        <f>ABS(SUM(AA157:AA159))+ABS(SUM(AA160:AA162))+ABS(SUM(AA163:AA165))+ABS(SUM(AA166:AA168))</f>
        <v>714</v>
      </c>
      <c r="AB169" s="98">
        <f>IF(AA169+AA179=0,0,IF(AA169=AA179,1,IF(AA169&gt;AA179,2,0)))</f>
        <v>0</v>
      </c>
      <c r="AC169" s="188">
        <f>ABS(SUM(AC157:AC159))+ABS(SUM(AC160:AC162))+ABS(SUM(AC163:AC165))+ABS(SUM(AC166:AC168))</f>
        <v>659</v>
      </c>
      <c r="AD169" s="98">
        <f>IF(AC169+AC179=0,0,IF(AC169=AC179,1,IF(AC169&gt;AC179,2,0)))</f>
        <v>2</v>
      </c>
      <c r="AE169" s="198">
        <f>SUM(U169+W169+Y169+AA169+AC169)</f>
        <v>3454</v>
      </c>
      <c r="AF169" s="12">
        <f>SUM(V169+X169+Z169+AB169+AD169)</f>
        <v>6</v>
      </c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212"/>
      <c r="BB169" s="213"/>
      <c r="BC169" s="214"/>
      <c r="BM169" s="216"/>
      <c r="BN169" s="214"/>
      <c r="BR169" s="214"/>
      <c r="BV169" s="214"/>
    </row>
    <row r="170" spans="1:74" ht="24" customHeight="1" thickBot="1" x14ac:dyDescent="0.25">
      <c r="B170" s="8" t="str">
        <f>IF(S170=0,"",S170)</f>
        <v>Gesamt - Punkte</v>
      </c>
      <c r="C170" s="1" t="str">
        <f t="shared" si="160"/>
        <v/>
      </c>
      <c r="D170" s="1" t="str">
        <f t="shared" si="161"/>
        <v/>
      </c>
      <c r="E170" s="23">
        <f>IF(V170="","",V170)</f>
        <v>1</v>
      </c>
      <c r="F170" s="1" t="str">
        <f t="shared" si="138"/>
        <v/>
      </c>
      <c r="G170" s="23">
        <f>IF(X170="","",X170)</f>
        <v>4</v>
      </c>
      <c r="H170" s="1" t="str">
        <f t="shared" si="139"/>
        <v/>
      </c>
      <c r="I170" s="23">
        <f>IF(Z170="","",Z170)</f>
        <v>5.5</v>
      </c>
      <c r="J170" s="1" t="str">
        <f t="shared" si="140"/>
        <v/>
      </c>
      <c r="K170" s="23">
        <f>IF(AB170="","",AB170)</f>
        <v>3</v>
      </c>
      <c r="L170" s="1" t="str">
        <f t="shared" si="141"/>
        <v/>
      </c>
      <c r="M170" s="23">
        <f>IF(AD170="","",AD170)</f>
        <v>4</v>
      </c>
      <c r="N170" s="1" t="str">
        <f t="shared" si="142"/>
        <v/>
      </c>
      <c r="O170" s="23">
        <f>IF(AF170="","",AF170)</f>
        <v>17.5</v>
      </c>
      <c r="S170" s="8" t="s">
        <v>1802</v>
      </c>
      <c r="T170" s="1"/>
      <c r="U170" s="1"/>
      <c r="V170" s="72">
        <f>SUM(V157:V169)</f>
        <v>1</v>
      </c>
      <c r="W170" s="1"/>
      <c r="X170" s="72">
        <f>SUM(X157:X169)</f>
        <v>4</v>
      </c>
      <c r="Y170" s="1"/>
      <c r="Z170" s="72">
        <f>SUM(Z157:Z169)</f>
        <v>5.5</v>
      </c>
      <c r="AA170" s="1"/>
      <c r="AB170" s="72">
        <f>SUM(AB157:AB169)</f>
        <v>3</v>
      </c>
      <c r="AC170" s="1"/>
      <c r="AD170" s="72">
        <f>SUM(AD157:AD169)</f>
        <v>4</v>
      </c>
      <c r="AE170" s="1"/>
      <c r="AF170" s="72">
        <f>SUM(AF157:AF169)</f>
        <v>17.5</v>
      </c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212">
        <f>AF170</f>
        <v>17.5</v>
      </c>
      <c r="BB170" s="213">
        <f>AE169</f>
        <v>3454</v>
      </c>
      <c r="BC170" s="214">
        <f>+S152</f>
        <v>6</v>
      </c>
      <c r="BF170" s="215">
        <f>SUM(BF151:BF169)</f>
        <v>20</v>
      </c>
      <c r="BM170" s="212">
        <f>+BB170/1000000+BA170</f>
        <v>17.503454000000001</v>
      </c>
      <c r="BN170" s="214">
        <f>RANK(BM170,BM:BM)</f>
        <v>3</v>
      </c>
      <c r="BR170" s="214"/>
      <c r="BV170" s="214"/>
    </row>
    <row r="171" spans="1:74" ht="11.25" customHeight="1" x14ac:dyDescent="0.2">
      <c r="B171" s="1"/>
      <c r="C171" s="1"/>
      <c r="D171" s="1"/>
      <c r="E171" s="2"/>
      <c r="F171" s="1"/>
      <c r="G171" s="2"/>
      <c r="H171" s="1"/>
      <c r="I171" s="2"/>
      <c r="J171" s="1"/>
      <c r="K171" s="2"/>
      <c r="L171" s="1"/>
      <c r="M171" s="2"/>
      <c r="N171" s="1"/>
      <c r="O171" s="2"/>
      <c r="S171" s="1"/>
      <c r="T171" s="1"/>
      <c r="U171" s="1"/>
      <c r="V171" s="2"/>
      <c r="W171" s="1"/>
      <c r="X171" s="2"/>
      <c r="Y171" s="1"/>
      <c r="Z171" s="2"/>
      <c r="AA171" s="1"/>
      <c r="AB171" s="2"/>
      <c r="AC171" s="1"/>
      <c r="AD171" s="2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12"/>
      <c r="BB171" s="213"/>
      <c r="BC171" s="214"/>
      <c r="BM171" s="216"/>
      <c r="BN171" s="214"/>
      <c r="BR171" s="214"/>
      <c r="BV171" s="214"/>
    </row>
    <row r="172" spans="1:74" ht="12.75" customHeight="1" x14ac:dyDescent="0.2">
      <c r="B172" s="13" t="str">
        <f t="shared" ref="B172:B179" si="163">IF(S172=0,"",S172)</f>
        <v>Gegner-Nr.:</v>
      </c>
      <c r="C172" s="5" t="str">
        <f t="shared" ref="C172:C179" si="164">IF(T172=0,"",T172)</f>
        <v>&gt;&gt;&gt;&gt;</v>
      </c>
      <c r="D172" s="350">
        <f t="shared" ref="D172:M174" si="165">IF(U172=0,"",U172)</f>
        <v>5</v>
      </c>
      <c r="E172" s="350" t="str">
        <f t="shared" si="165"/>
        <v/>
      </c>
      <c r="F172" s="350">
        <f t="shared" si="165"/>
        <v>1</v>
      </c>
      <c r="G172" s="350" t="str">
        <f t="shared" si="165"/>
        <v/>
      </c>
      <c r="H172" s="350">
        <f t="shared" si="165"/>
        <v>4</v>
      </c>
      <c r="I172" s="350" t="str">
        <f t="shared" si="165"/>
        <v/>
      </c>
      <c r="J172" s="350">
        <f t="shared" si="165"/>
        <v>2</v>
      </c>
      <c r="K172" s="350" t="str">
        <f t="shared" si="165"/>
        <v/>
      </c>
      <c r="L172" s="350">
        <f t="shared" si="165"/>
        <v>3</v>
      </c>
      <c r="M172" s="350" t="str">
        <f t="shared" si="165"/>
        <v/>
      </c>
      <c r="N172" s="351"/>
      <c r="O172" s="351"/>
      <c r="S172" s="13" t="s">
        <v>1789</v>
      </c>
      <c r="T172" s="5" t="s">
        <v>1790</v>
      </c>
      <c r="U172" s="369">
        <f>VLOOKUP($S152,Schlüssel!$A$5:$K$10,3)</f>
        <v>5</v>
      </c>
      <c r="V172" s="370"/>
      <c r="W172" s="369">
        <f>VLOOKUP($S152,Schlüssel!$A$5:$K$10,4)</f>
        <v>1</v>
      </c>
      <c r="X172" s="370"/>
      <c r="Y172" s="369">
        <f>VLOOKUP($S152,Schlüssel!$A$5:$K$10,5)</f>
        <v>4</v>
      </c>
      <c r="Z172" s="370"/>
      <c r="AA172" s="369">
        <f>VLOOKUP($S152,Schlüssel!$A$5:$K$10,6)</f>
        <v>2</v>
      </c>
      <c r="AB172" s="370"/>
      <c r="AC172" s="369">
        <f>VLOOKUP($S152,Schlüssel!$A$5:$K$10,7)</f>
        <v>3</v>
      </c>
      <c r="AD172" s="370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212"/>
      <c r="BB172" s="213"/>
      <c r="BC172" s="214"/>
      <c r="BM172" s="216"/>
      <c r="BN172" s="214"/>
      <c r="BR172" s="214"/>
      <c r="BV172" s="214"/>
    </row>
    <row r="173" spans="1:74" ht="28.5" customHeight="1" x14ac:dyDescent="0.2">
      <c r="B173" s="4" t="str">
        <f t="shared" si="163"/>
        <v/>
      </c>
      <c r="C173" s="1" t="str">
        <f t="shared" si="164"/>
        <v/>
      </c>
      <c r="D173" s="347" t="str">
        <f t="shared" si="165"/>
        <v>Castra Regina Regensburg 2</v>
      </c>
      <c r="E173" s="348" t="str">
        <f t="shared" si="165"/>
        <v/>
      </c>
      <c r="F173" s="347" t="str">
        <f t="shared" si="165"/>
        <v>Castra Regina Regensburg 3</v>
      </c>
      <c r="G173" s="348" t="str">
        <f t="shared" si="165"/>
        <v/>
      </c>
      <c r="H173" s="347" t="str">
        <f t="shared" si="165"/>
        <v>Kings Club Bayreuth Land 3</v>
      </c>
      <c r="I173" s="348" t="str">
        <f t="shared" si="165"/>
        <v/>
      </c>
      <c r="J173" s="347" t="str">
        <f t="shared" si="165"/>
        <v>Herzogenaurach 1</v>
      </c>
      <c r="K173" s="348" t="str">
        <f t="shared" si="165"/>
        <v/>
      </c>
      <c r="L173" s="347" t="str">
        <f t="shared" si="165"/>
        <v>Kings Club Bayreuth Land 2</v>
      </c>
      <c r="M173" s="348" t="str">
        <f t="shared" si="165"/>
        <v/>
      </c>
      <c r="N173" s="349"/>
      <c r="O173" s="349"/>
      <c r="S173" s="4"/>
      <c r="T173" s="1"/>
      <c r="U173" s="347" t="str">
        <f>VLOOKUP(U172,Schlüssel!$A$5:$K$10,2)</f>
        <v>Castra Regina Regensburg 2</v>
      </c>
      <c r="V173" s="348"/>
      <c r="W173" s="347" t="str">
        <f>VLOOKUP(W172,Schlüssel!$A$5:$K$10,2)</f>
        <v>Castra Regina Regensburg 3</v>
      </c>
      <c r="X173" s="348"/>
      <c r="Y173" s="347" t="str">
        <f>VLOOKUP(Y172,Schlüssel!$A$5:$K$10,2)</f>
        <v>Kings Club Bayreuth Land 3</v>
      </c>
      <c r="Z173" s="348"/>
      <c r="AA173" s="347" t="str">
        <f>VLOOKUP(AA172,Schlüssel!$A$5:$K$10,2)</f>
        <v>Herzogenaurach 1</v>
      </c>
      <c r="AB173" s="348"/>
      <c r="AC173" s="347" t="str">
        <f>VLOOKUP(AC172,Schlüssel!$A$5:$K$10,2)</f>
        <v>Kings Club Bayreuth Land 2</v>
      </c>
      <c r="AD173" s="348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212"/>
      <c r="BB173" s="213"/>
      <c r="BC173" s="214"/>
      <c r="BM173" s="216"/>
      <c r="BN173" s="214"/>
      <c r="BR173" s="214"/>
      <c r="BV173" s="214"/>
    </row>
    <row r="174" spans="1:74" ht="12" customHeight="1" x14ac:dyDescent="0.2">
      <c r="B174" s="4" t="str">
        <f t="shared" si="163"/>
        <v/>
      </c>
      <c r="C174" s="1" t="str">
        <f t="shared" si="164"/>
        <v/>
      </c>
      <c r="D174" s="346" t="str">
        <f t="shared" si="165"/>
        <v/>
      </c>
      <c r="E174" s="346" t="str">
        <f t="shared" si="165"/>
        <v/>
      </c>
      <c r="F174" s="346" t="str">
        <f t="shared" si="165"/>
        <v/>
      </c>
      <c r="G174" s="346" t="str">
        <f t="shared" si="165"/>
        <v/>
      </c>
      <c r="H174" s="346" t="str">
        <f t="shared" si="165"/>
        <v/>
      </c>
      <c r="I174" s="346" t="str">
        <f t="shared" si="165"/>
        <v/>
      </c>
      <c r="J174" s="346" t="str">
        <f t="shared" si="165"/>
        <v/>
      </c>
      <c r="K174" s="346" t="str">
        <f t="shared" si="165"/>
        <v/>
      </c>
      <c r="L174" s="346" t="str">
        <f t="shared" si="165"/>
        <v/>
      </c>
      <c r="M174" s="346" t="str">
        <f t="shared" si="165"/>
        <v/>
      </c>
      <c r="N174" s="310"/>
      <c r="O174" s="310"/>
      <c r="S174" s="4"/>
      <c r="T174" s="1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212"/>
      <c r="BB174" s="213"/>
      <c r="BC174" s="214"/>
      <c r="BM174" s="216"/>
      <c r="BN174" s="214"/>
      <c r="BR174" s="214"/>
      <c r="BV174" s="214"/>
    </row>
    <row r="175" spans="1:74" ht="15.95" customHeight="1" x14ac:dyDescent="0.2">
      <c r="B175" s="371" t="str">
        <f t="shared" si="163"/>
        <v>Spieler 1</v>
      </c>
      <c r="C175" s="372" t="str">
        <f t="shared" si="164"/>
        <v/>
      </c>
      <c r="D175" s="344">
        <f>IF(U175=301,"",U175)</f>
        <v>247</v>
      </c>
      <c r="E175" s="344" t="str">
        <f>IF(V175=0,"",V175)</f>
        <v/>
      </c>
      <c r="F175" s="344">
        <f>IF(W175=301,"",W175)</f>
        <v>171</v>
      </c>
      <c r="G175" s="344" t="str">
        <f>IF(X175=0,"",X175)</f>
        <v/>
      </c>
      <c r="H175" s="344">
        <f>IF(Y175=301,"",Y175)</f>
        <v>158</v>
      </c>
      <c r="I175" s="344" t="str">
        <f>IF(Z175=0,"",Z175)</f>
        <v/>
      </c>
      <c r="J175" s="344">
        <f>IF(AA175=301,"",AA175)</f>
        <v>204</v>
      </c>
      <c r="K175" s="344" t="str">
        <f>IF(AB175=0,"",AB175)</f>
        <v/>
      </c>
      <c r="L175" s="344">
        <f>IF(AC175=301,"",AC175)</f>
        <v>149</v>
      </c>
      <c r="M175" s="344" t="str">
        <f>IF(AD175=0,"",AD175)</f>
        <v/>
      </c>
      <c r="N175" s="345"/>
      <c r="O175" s="345"/>
      <c r="S175" s="35" t="s">
        <v>0</v>
      </c>
      <c r="T175" s="36"/>
      <c r="U175" s="367">
        <f>ABS(INDEX(U:U,MATCH(U172,$S:$S,0)+5)+INDEX(U:U,MATCH(U172,$S:$S,0)+6)+INDEX(U:U,MATCH(U172,$S:$S,0)+7))</f>
        <v>247</v>
      </c>
      <c r="V175" s="368"/>
      <c r="W175" s="367">
        <f>ABS(INDEX(W:W,MATCH(W172,$S:$S,0)+5)+INDEX(W:W,MATCH(W172,$S:$S,0)+6)+INDEX(W:W,MATCH(W172,$S:$S,0)+7))</f>
        <v>171</v>
      </c>
      <c r="X175" s="368"/>
      <c r="Y175" s="367">
        <f>ABS(INDEX(Y:Y,MATCH(Y172,$S:$S,0)+5)+INDEX(Y:Y,MATCH(Y172,$S:$S,0)+6)+INDEX(Y:Y,MATCH(Y172,$S:$S,0)+7))</f>
        <v>158</v>
      </c>
      <c r="Z175" s="368"/>
      <c r="AA175" s="367">
        <f>ABS(INDEX(AA:AA,MATCH(AA172,$S:$S,0)+5)+INDEX(AA:AA,MATCH(AA172,$S:$S,0)+6)+INDEX(AA:AA,MATCH(AA172,$S:$S,0)+7))</f>
        <v>204</v>
      </c>
      <c r="AB175" s="368"/>
      <c r="AC175" s="367">
        <f>ABS(INDEX(AC:AC,MATCH(AC172,$S:$S,0)+5)+INDEX(AC:AC,MATCH(AC172,$S:$S,0)+6)+INDEX(AC:AC,MATCH(AC172,$S:$S,0)+7))</f>
        <v>149</v>
      </c>
      <c r="AD175" s="368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12"/>
      <c r="BB175" s="213"/>
      <c r="BC175" s="214"/>
      <c r="BM175" s="216"/>
      <c r="BN175" s="214"/>
      <c r="BR175" s="214"/>
      <c r="BV175" s="214"/>
    </row>
    <row r="176" spans="1:74" ht="15.95" customHeight="1" x14ac:dyDescent="0.2">
      <c r="B176" s="371" t="str">
        <f t="shared" si="163"/>
        <v>Spieler 2</v>
      </c>
      <c r="C176" s="372" t="str">
        <f t="shared" si="164"/>
        <v/>
      </c>
      <c r="D176" s="344">
        <f>IF(U176=301,"",U176)</f>
        <v>185</v>
      </c>
      <c r="E176" s="344" t="str">
        <f>IF(V176=0,"",V176)</f>
        <v/>
      </c>
      <c r="F176" s="344">
        <f>IF(W176=301,"",W176)</f>
        <v>148</v>
      </c>
      <c r="G176" s="344" t="str">
        <f>IF(X176=0,"",X176)</f>
        <v/>
      </c>
      <c r="H176" s="344">
        <f>IF(Y176=301,"",Y176)</f>
        <v>157</v>
      </c>
      <c r="I176" s="344" t="str">
        <f>IF(Z176=0,"",Z176)</f>
        <v/>
      </c>
      <c r="J176" s="344">
        <f>IF(AA176=301,"",AA176)</f>
        <v>149</v>
      </c>
      <c r="K176" s="344" t="str">
        <f>IF(AB176=0,"",AB176)</f>
        <v/>
      </c>
      <c r="L176" s="344">
        <f>IF(AC176=301,"",AC176)</f>
        <v>158</v>
      </c>
      <c r="M176" s="344" t="str">
        <f>IF(AD176=0,"",AD176)</f>
        <v/>
      </c>
      <c r="N176" s="345"/>
      <c r="O176" s="345"/>
      <c r="S176" s="35" t="s">
        <v>2</v>
      </c>
      <c r="T176" s="36"/>
      <c r="U176" s="365">
        <f>ABS(INDEX(U:U,MATCH(U172,$S:$S,0)+8)+INDEX(U:U,MATCH(U172,$S:$S,0)+9)+INDEX(U:U,MATCH(U172,$S:$S,0)+10))</f>
        <v>185</v>
      </c>
      <c r="V176" s="366"/>
      <c r="W176" s="365">
        <f>ABS(INDEX(W:W,MATCH(W172,$S:$S,0)+8)+INDEX(W:W,MATCH(W172,$S:$S,0)+9)+INDEX(W:W,MATCH(W172,$S:$S,0)+10))</f>
        <v>148</v>
      </c>
      <c r="X176" s="366"/>
      <c r="Y176" s="365">
        <f>ABS(INDEX(Y:Y,MATCH(Y172,$S:$S,0)+8)+INDEX(Y:Y,MATCH(Y172,$S:$S,0)+9)+INDEX(Y:Y,MATCH(Y172,$S:$S,0)+10))</f>
        <v>157</v>
      </c>
      <c r="Z176" s="366"/>
      <c r="AA176" s="365">
        <f>ABS(INDEX(AA:AA,MATCH(AA172,$S:$S,0)+8)+INDEX(AA:AA,MATCH(AA172,$S:$S,0)+9)+INDEX(AA:AA,MATCH(AA172,$S:$S,0)+10))</f>
        <v>149</v>
      </c>
      <c r="AB176" s="366"/>
      <c r="AC176" s="365">
        <f>ABS(INDEX(AC:AC,MATCH(AC172,$S:$S,0)+8)+INDEX(AC:AC,MATCH(AC172,$S:$S,0)+9)+INDEX(AC:AC,MATCH(AC172,$S:$S,0)+10))</f>
        <v>158</v>
      </c>
      <c r="AD176" s="36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12"/>
      <c r="BB176" s="213"/>
      <c r="BC176" s="214"/>
      <c r="BM176" s="216"/>
      <c r="BN176" s="214"/>
      <c r="BR176" s="214"/>
      <c r="BV176" s="214"/>
    </row>
    <row r="177" spans="2:74" ht="15.95" customHeight="1" x14ac:dyDescent="0.2">
      <c r="B177" s="371" t="str">
        <f t="shared" si="163"/>
        <v>Spieler 3</v>
      </c>
      <c r="C177" s="372" t="str">
        <f t="shared" si="164"/>
        <v/>
      </c>
      <c r="D177" s="344">
        <f>IF(U177=301,"",U177)</f>
        <v>165</v>
      </c>
      <c r="E177" s="344" t="str">
        <f>IF(V177=0,"",V177)</f>
        <v/>
      </c>
      <c r="F177" s="344">
        <f>IF(W177=301,"",W177)</f>
        <v>145</v>
      </c>
      <c r="G177" s="344" t="str">
        <f>IF(X177=0,"",X177)</f>
        <v/>
      </c>
      <c r="H177" s="344">
        <f>IF(Y177=301,"",Y177)</f>
        <v>156</v>
      </c>
      <c r="I177" s="344" t="str">
        <f>IF(Z177=0,"",Z177)</f>
        <v/>
      </c>
      <c r="J177" s="344">
        <f>IF(AA177=301,"",AA177)</f>
        <v>208</v>
      </c>
      <c r="K177" s="344" t="str">
        <f>IF(AB177=0,"",AB177)</f>
        <v/>
      </c>
      <c r="L177" s="344">
        <f>IF(AC177=301,"",AC177)</f>
        <v>161</v>
      </c>
      <c r="M177" s="344" t="str">
        <f>IF(AD177=0,"",AD177)</f>
        <v/>
      </c>
      <c r="N177" s="345"/>
      <c r="O177" s="345"/>
      <c r="S177" s="35" t="s">
        <v>3</v>
      </c>
      <c r="T177" s="36"/>
      <c r="U177" s="365">
        <f>ABS(INDEX(U:U,MATCH(U172,$S:$S,0)+11)+INDEX(U:U,MATCH(U172,$S:$S,0)+12)+INDEX(U:U,MATCH(U172,$S:$S,0)+13))</f>
        <v>165</v>
      </c>
      <c r="V177" s="366"/>
      <c r="W177" s="365">
        <f>ABS(INDEX(W:W,MATCH(W172,$S:$S,0)+11)+INDEX(W:W,MATCH(W172,$S:$S,0)+12)+INDEX(W:W,MATCH(W172,$S:$S,0)+13))</f>
        <v>145</v>
      </c>
      <c r="X177" s="366"/>
      <c r="Y177" s="365">
        <f>ABS(INDEX(Y:Y,MATCH(Y172,$S:$S,0)+11)+INDEX(Y:Y,MATCH(Y172,$S:$S,0)+12)+INDEX(Y:Y,MATCH(Y172,$S:$S,0)+13))</f>
        <v>156</v>
      </c>
      <c r="Z177" s="366"/>
      <c r="AA177" s="365">
        <f>ABS(INDEX(AA:AA,MATCH(AA172,$S:$S,0)+11)+INDEX(AA:AA,MATCH(AA172,$S:$S,0)+12)+INDEX(AA:AA,MATCH(AA172,$S:$S,0)+13))</f>
        <v>208</v>
      </c>
      <c r="AB177" s="366"/>
      <c r="AC177" s="365">
        <f>ABS(INDEX(AC:AC,MATCH(AC172,$S:$S,0)+11)+INDEX(AC:AC,MATCH(AC172,$S:$S,0)+12)+INDEX(AC:AC,MATCH(AC172,$S:$S,0)+13))</f>
        <v>161</v>
      </c>
      <c r="AD177" s="36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12"/>
      <c r="BB177" s="213"/>
      <c r="BC177" s="214"/>
      <c r="BM177" s="216"/>
      <c r="BN177" s="214"/>
      <c r="BR177" s="214"/>
      <c r="BV177" s="214"/>
    </row>
    <row r="178" spans="2:74" ht="15.95" customHeight="1" x14ac:dyDescent="0.2">
      <c r="B178" s="371" t="str">
        <f t="shared" si="163"/>
        <v>Spieler 4</v>
      </c>
      <c r="C178" s="372" t="str">
        <f t="shared" si="164"/>
        <v/>
      </c>
      <c r="D178" s="344">
        <f>IF(U178=301,"",U178)</f>
        <v>194</v>
      </c>
      <c r="E178" s="344" t="str">
        <f>IF(V178=0,"",V178)</f>
        <v/>
      </c>
      <c r="F178" s="344">
        <f>IF(W178=301,"",W178)</f>
        <v>212</v>
      </c>
      <c r="G178" s="344" t="str">
        <f>IF(X178=0,"",X178)</f>
        <v/>
      </c>
      <c r="H178" s="344">
        <f>IF(Y178=301,"",Y178)</f>
        <v>189</v>
      </c>
      <c r="I178" s="344" t="str">
        <f>IF(Z178=0,"",Z178)</f>
        <v/>
      </c>
      <c r="J178" s="344">
        <f>IF(AA178=301,"",AA178)</f>
        <v>168</v>
      </c>
      <c r="K178" s="344" t="str">
        <f>IF(AB178=0,"",AB178)</f>
        <v/>
      </c>
      <c r="L178" s="344">
        <f>IF(AC178=301,"",AC178)</f>
        <v>164</v>
      </c>
      <c r="M178" s="344" t="str">
        <f>IF(AD178=0,"",AD178)</f>
        <v/>
      </c>
      <c r="N178" s="345"/>
      <c r="O178" s="345"/>
      <c r="S178" s="35" t="s">
        <v>11</v>
      </c>
      <c r="T178" s="36"/>
      <c r="U178" s="365">
        <f>ABS(INDEX(U:U,MATCH(U172,$S:$S,0)+14)+INDEX(U:U,MATCH(U172,$S:$S,0)+15)+INDEX(U:U,MATCH(U172,$S:$S,0)+16))</f>
        <v>194</v>
      </c>
      <c r="V178" s="366"/>
      <c r="W178" s="365">
        <f>ABS(INDEX(W:W,MATCH(W172,$S:$S,0)+14)+INDEX(W:W,MATCH(W172,$S:$S,0)+15)+INDEX(W:W,MATCH(W172,$S:$S,0)+16))</f>
        <v>212</v>
      </c>
      <c r="X178" s="366"/>
      <c r="Y178" s="365">
        <f>ABS(INDEX(Y:Y,MATCH(Y172,$S:$S,0)+14)+INDEX(Y:Y,MATCH(Y172,$S:$S,0)+15)+INDEX(Y:Y,MATCH(Y172,$S:$S,0)+16))</f>
        <v>189</v>
      </c>
      <c r="Z178" s="366"/>
      <c r="AA178" s="365">
        <f>ABS(INDEX(AA:AA,MATCH(AA172,$S:$S,0)+14)+INDEX(AA:AA,MATCH(AA172,$S:$S,0)+15)+INDEX(AA:AA,MATCH(AA172,$S:$S,0)+16))</f>
        <v>168</v>
      </c>
      <c r="AB178" s="366"/>
      <c r="AC178" s="365">
        <f>ABS(INDEX(AC:AC,MATCH(AC172,$S:$S,0)+14)+INDEX(AC:AC,MATCH(AC172,$S:$S,0)+15)+INDEX(AC:AC,MATCH(AC172,$S:$S,0)+16))</f>
        <v>164</v>
      </c>
      <c r="AD178" s="36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12"/>
      <c r="BB178" s="213"/>
      <c r="BC178" s="214"/>
      <c r="BM178" s="216"/>
      <c r="BN178" s="214"/>
      <c r="BR178" s="214"/>
      <c r="BV178" s="214"/>
    </row>
    <row r="179" spans="2:74" ht="15.95" customHeight="1" x14ac:dyDescent="0.2">
      <c r="B179" s="359" t="str">
        <f t="shared" si="163"/>
        <v>Gesamt</v>
      </c>
      <c r="C179" s="360" t="str">
        <f t="shared" si="164"/>
        <v/>
      </c>
      <c r="D179" s="343">
        <f>IF(U179=1505,"",U179)</f>
        <v>791</v>
      </c>
      <c r="E179" s="343" t="str">
        <f>IF(V179=0,"",V179)</f>
        <v/>
      </c>
      <c r="F179" s="343">
        <f>IF(W179=1505,"",W179)</f>
        <v>676</v>
      </c>
      <c r="G179" s="343" t="str">
        <f>IF(X179=0,"",X179)</f>
        <v/>
      </c>
      <c r="H179" s="343">
        <f>IF(Y179=1505,"",Y179)</f>
        <v>660</v>
      </c>
      <c r="I179" s="343" t="str">
        <f>IF(Z179=0,"",Z179)</f>
        <v/>
      </c>
      <c r="J179" s="343">
        <f>IF(AA179=1505,"",AA179)</f>
        <v>729</v>
      </c>
      <c r="K179" s="343" t="str">
        <f>IF(AB179=0,"",AB179)</f>
        <v/>
      </c>
      <c r="L179" s="343">
        <f>IF(AC179=1505,"",AC179)</f>
        <v>632</v>
      </c>
      <c r="M179" s="343" t="str">
        <f>IF(AD179=0,"",AD179)</f>
        <v/>
      </c>
      <c r="N179" s="298"/>
      <c r="O179" s="298"/>
      <c r="S179" s="37" t="s">
        <v>1791</v>
      </c>
      <c r="T179" s="38"/>
      <c r="U179" s="359">
        <f>SUM(U175:U178)</f>
        <v>791</v>
      </c>
      <c r="V179" s="360"/>
      <c r="W179" s="359">
        <f>SUM(W175:W178)</f>
        <v>676</v>
      </c>
      <c r="X179" s="360"/>
      <c r="Y179" s="359">
        <f>SUM(Y175:Y178)</f>
        <v>660</v>
      </c>
      <c r="Z179" s="360"/>
      <c r="AA179" s="359">
        <f>SUM(AA175:AA178)</f>
        <v>729</v>
      </c>
      <c r="AB179" s="360"/>
      <c r="AC179" s="359">
        <f>SUM(AC175:AC178)</f>
        <v>632</v>
      </c>
      <c r="AD179" s="360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12"/>
      <c r="BB179" s="213"/>
      <c r="BC179" s="214"/>
      <c r="BM179" s="216"/>
      <c r="BN179" s="214"/>
      <c r="BR179" s="214"/>
      <c r="BV179" s="214"/>
    </row>
    <row r="180" spans="2:74" ht="10.5" customHeight="1" x14ac:dyDescent="0.2">
      <c r="B180" s="3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S180" s="3"/>
      <c r="T180" s="1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12"/>
      <c r="BB180" s="213"/>
      <c r="BC180" s="214"/>
      <c r="BM180" s="216"/>
      <c r="BN180" s="214"/>
      <c r="BR180" s="214"/>
      <c r="BV180" s="214"/>
    </row>
  </sheetData>
  <sheetProtection password="D19C" sheet="1" formatCells="0" formatColumns="0" formatRows="0"/>
  <mergeCells count="810">
    <mergeCell ref="AD1:AF1"/>
    <mergeCell ref="M1:O1"/>
    <mergeCell ref="M31:O31"/>
    <mergeCell ref="M61:O61"/>
    <mergeCell ref="M91:O91"/>
    <mergeCell ref="M121:O121"/>
    <mergeCell ref="O7:O9"/>
    <mergeCell ref="O10:O12"/>
    <mergeCell ref="O13:O15"/>
    <mergeCell ref="O16:O18"/>
    <mergeCell ref="N5:O5"/>
    <mergeCell ref="N27:O27"/>
    <mergeCell ref="N29:O29"/>
    <mergeCell ref="N28:O28"/>
    <mergeCell ref="P1:R1"/>
    <mergeCell ref="U53:V53"/>
    <mergeCell ref="W53:X53"/>
    <mergeCell ref="Y53:Z53"/>
    <mergeCell ref="AA53:AB53"/>
    <mergeCell ref="AC53:AD53"/>
    <mergeCell ref="W113:X113"/>
    <mergeCell ref="Y113:Z113"/>
    <mergeCell ref="AA113:AB113"/>
    <mergeCell ref="AC115:AD115"/>
    <mergeCell ref="L57:M57"/>
    <mergeCell ref="O67:O69"/>
    <mergeCell ref="O73:O75"/>
    <mergeCell ref="N86:O86"/>
    <mergeCell ref="N87:O87"/>
    <mergeCell ref="O97:O99"/>
    <mergeCell ref="O103:O105"/>
    <mergeCell ref="N119:O119"/>
    <mergeCell ref="N118:O118"/>
    <mergeCell ref="P31:R31"/>
    <mergeCell ref="P61:R61"/>
    <mergeCell ref="P91:R91"/>
    <mergeCell ref="P121:R121"/>
    <mergeCell ref="P151:R151"/>
    <mergeCell ref="R46:R48"/>
    <mergeCell ref="O37:O39"/>
    <mergeCell ref="O40:O42"/>
    <mergeCell ref="O43:O45"/>
    <mergeCell ref="R130:R132"/>
    <mergeCell ref="R106:R108"/>
    <mergeCell ref="R103:R105"/>
    <mergeCell ref="R100:R102"/>
    <mergeCell ref="A7:A9"/>
    <mergeCell ref="E7:E9"/>
    <mergeCell ref="G7:G9"/>
    <mergeCell ref="I7:I9"/>
    <mergeCell ref="K7:K9"/>
    <mergeCell ref="M7:M9"/>
    <mergeCell ref="D5:E5"/>
    <mergeCell ref="F5:G5"/>
    <mergeCell ref="H5:I5"/>
    <mergeCell ref="J5:K5"/>
    <mergeCell ref="L5:M5"/>
    <mergeCell ref="A13:A15"/>
    <mergeCell ref="E13:E15"/>
    <mergeCell ref="G13:G15"/>
    <mergeCell ref="I13:I15"/>
    <mergeCell ref="K13:K15"/>
    <mergeCell ref="M13:M15"/>
    <mergeCell ref="A10:A12"/>
    <mergeCell ref="E10:E12"/>
    <mergeCell ref="G10:G12"/>
    <mergeCell ref="I10:I12"/>
    <mergeCell ref="K10:K12"/>
    <mergeCell ref="M10:M12"/>
    <mergeCell ref="D22:E22"/>
    <mergeCell ref="F22:G22"/>
    <mergeCell ref="H22:I22"/>
    <mergeCell ref="J22:K22"/>
    <mergeCell ref="L22:M22"/>
    <mergeCell ref="N22:O22"/>
    <mergeCell ref="A16:A18"/>
    <mergeCell ref="E16:E18"/>
    <mergeCell ref="G16:G18"/>
    <mergeCell ref="I16:I18"/>
    <mergeCell ref="K16:K18"/>
    <mergeCell ref="M16:M18"/>
    <mergeCell ref="D24:E24"/>
    <mergeCell ref="F24:G24"/>
    <mergeCell ref="H24:I24"/>
    <mergeCell ref="J24:K24"/>
    <mergeCell ref="L24:M24"/>
    <mergeCell ref="N24:O24"/>
    <mergeCell ref="D23:E23"/>
    <mergeCell ref="F23:G23"/>
    <mergeCell ref="H23:I23"/>
    <mergeCell ref="J23:K23"/>
    <mergeCell ref="L23:M23"/>
    <mergeCell ref="N23:O23"/>
    <mergeCell ref="J26:K26"/>
    <mergeCell ref="L26:M26"/>
    <mergeCell ref="N26:O26"/>
    <mergeCell ref="D25:E25"/>
    <mergeCell ref="F25:G25"/>
    <mergeCell ref="H25:I25"/>
    <mergeCell ref="J25:K25"/>
    <mergeCell ref="L25:M25"/>
    <mergeCell ref="N25:O25"/>
    <mergeCell ref="J35:K35"/>
    <mergeCell ref="L35:M35"/>
    <mergeCell ref="N35:O35"/>
    <mergeCell ref="J29:K29"/>
    <mergeCell ref="D27:E27"/>
    <mergeCell ref="F27:G27"/>
    <mergeCell ref="H27:I27"/>
    <mergeCell ref="J27:K27"/>
    <mergeCell ref="L27:M27"/>
    <mergeCell ref="D28:E28"/>
    <mergeCell ref="F28:G28"/>
    <mergeCell ref="H28:I28"/>
    <mergeCell ref="J28:K28"/>
    <mergeCell ref="L28:M28"/>
    <mergeCell ref="D29:E29"/>
    <mergeCell ref="F29:G29"/>
    <mergeCell ref="A40:A42"/>
    <mergeCell ref="E40:E42"/>
    <mergeCell ref="G40:G42"/>
    <mergeCell ref="I40:I42"/>
    <mergeCell ref="K40:K42"/>
    <mergeCell ref="M40:M42"/>
    <mergeCell ref="A37:A39"/>
    <mergeCell ref="E37:E39"/>
    <mergeCell ref="G37:G39"/>
    <mergeCell ref="I37:I39"/>
    <mergeCell ref="K37:K39"/>
    <mergeCell ref="M37:M39"/>
    <mergeCell ref="A46:A48"/>
    <mergeCell ref="E46:E48"/>
    <mergeCell ref="G46:G48"/>
    <mergeCell ref="I46:I48"/>
    <mergeCell ref="K46:K48"/>
    <mergeCell ref="M46:M48"/>
    <mergeCell ref="A43:A45"/>
    <mergeCell ref="E43:E45"/>
    <mergeCell ref="G43:G45"/>
    <mergeCell ref="I43:I45"/>
    <mergeCell ref="K43:K45"/>
    <mergeCell ref="M43:M45"/>
    <mergeCell ref="J53:K53"/>
    <mergeCell ref="L53:M53"/>
    <mergeCell ref="N53:O53"/>
    <mergeCell ref="O46:O48"/>
    <mergeCell ref="D52:E52"/>
    <mergeCell ref="F52:G52"/>
    <mergeCell ref="H52:I52"/>
    <mergeCell ref="J52:K52"/>
    <mergeCell ref="L52:M52"/>
    <mergeCell ref="N52:O52"/>
    <mergeCell ref="J55:K55"/>
    <mergeCell ref="L55:M55"/>
    <mergeCell ref="N55:O55"/>
    <mergeCell ref="D54:E54"/>
    <mergeCell ref="F54:G54"/>
    <mergeCell ref="H54:I54"/>
    <mergeCell ref="J54:K54"/>
    <mergeCell ref="L54:M54"/>
    <mergeCell ref="N54:O54"/>
    <mergeCell ref="D65:E65"/>
    <mergeCell ref="F65:G65"/>
    <mergeCell ref="H65:I65"/>
    <mergeCell ref="J65:K65"/>
    <mergeCell ref="L65:M65"/>
    <mergeCell ref="N65:O65"/>
    <mergeCell ref="J58:K58"/>
    <mergeCell ref="L58:M58"/>
    <mergeCell ref="N56:O56"/>
    <mergeCell ref="D59:E59"/>
    <mergeCell ref="F59:G59"/>
    <mergeCell ref="H59:I59"/>
    <mergeCell ref="J59:K59"/>
    <mergeCell ref="L59:M59"/>
    <mergeCell ref="N59:O59"/>
    <mergeCell ref="N58:O58"/>
    <mergeCell ref="F56:G56"/>
    <mergeCell ref="H56:I56"/>
    <mergeCell ref="J56:K56"/>
    <mergeCell ref="L56:M56"/>
    <mergeCell ref="D57:E57"/>
    <mergeCell ref="F57:G57"/>
    <mergeCell ref="H57:I57"/>
    <mergeCell ref="J57:K57"/>
    <mergeCell ref="A70:A72"/>
    <mergeCell ref="E70:E72"/>
    <mergeCell ref="G70:G72"/>
    <mergeCell ref="I70:I72"/>
    <mergeCell ref="K70:K72"/>
    <mergeCell ref="M70:M72"/>
    <mergeCell ref="O70:O72"/>
    <mergeCell ref="A67:A69"/>
    <mergeCell ref="E67:E69"/>
    <mergeCell ref="G67:G69"/>
    <mergeCell ref="I67:I69"/>
    <mergeCell ref="K67:K69"/>
    <mergeCell ref="M67:M69"/>
    <mergeCell ref="A76:A78"/>
    <mergeCell ref="E76:E78"/>
    <mergeCell ref="G76:G78"/>
    <mergeCell ref="I76:I78"/>
    <mergeCell ref="K76:K78"/>
    <mergeCell ref="M76:M78"/>
    <mergeCell ref="O76:O78"/>
    <mergeCell ref="A73:A75"/>
    <mergeCell ref="E73:E75"/>
    <mergeCell ref="G73:G75"/>
    <mergeCell ref="I73:I75"/>
    <mergeCell ref="K73:K75"/>
    <mergeCell ref="M73:M75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F85:G85"/>
    <mergeCell ref="H85:I85"/>
    <mergeCell ref="J85:K85"/>
    <mergeCell ref="L85:M85"/>
    <mergeCell ref="N85:O85"/>
    <mergeCell ref="D84:E84"/>
    <mergeCell ref="F84:G84"/>
    <mergeCell ref="H84:I84"/>
    <mergeCell ref="J84:K84"/>
    <mergeCell ref="L84:M84"/>
    <mergeCell ref="N84:O84"/>
    <mergeCell ref="D95:E95"/>
    <mergeCell ref="F95:G95"/>
    <mergeCell ref="H95:I95"/>
    <mergeCell ref="J95:K95"/>
    <mergeCell ref="L95:M95"/>
    <mergeCell ref="N95:O95"/>
    <mergeCell ref="D88:E88"/>
    <mergeCell ref="J88:K88"/>
    <mergeCell ref="L88:M88"/>
    <mergeCell ref="F88:G88"/>
    <mergeCell ref="H88:I88"/>
    <mergeCell ref="D89:E89"/>
    <mergeCell ref="F89:G89"/>
    <mergeCell ref="H89:I89"/>
    <mergeCell ref="J89:K89"/>
    <mergeCell ref="L89:M89"/>
    <mergeCell ref="N89:O89"/>
    <mergeCell ref="N88:O88"/>
    <mergeCell ref="A100:A102"/>
    <mergeCell ref="E100:E102"/>
    <mergeCell ref="G100:G102"/>
    <mergeCell ref="I100:I102"/>
    <mergeCell ref="K100:K102"/>
    <mergeCell ref="M100:M102"/>
    <mergeCell ref="O100:O102"/>
    <mergeCell ref="A97:A99"/>
    <mergeCell ref="E97:E99"/>
    <mergeCell ref="G97:G99"/>
    <mergeCell ref="I97:I99"/>
    <mergeCell ref="K97:K99"/>
    <mergeCell ref="M97:M99"/>
    <mergeCell ref="A106:A108"/>
    <mergeCell ref="E106:E108"/>
    <mergeCell ref="G106:G108"/>
    <mergeCell ref="I106:I108"/>
    <mergeCell ref="K106:K108"/>
    <mergeCell ref="M106:M108"/>
    <mergeCell ref="O106:O108"/>
    <mergeCell ref="A103:A105"/>
    <mergeCell ref="E103:E105"/>
    <mergeCell ref="G103:G105"/>
    <mergeCell ref="I103:I105"/>
    <mergeCell ref="K103:K105"/>
    <mergeCell ref="M103:M105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D115:E115"/>
    <mergeCell ref="F115:G115"/>
    <mergeCell ref="H115:I115"/>
    <mergeCell ref="J115:K115"/>
    <mergeCell ref="L115:M115"/>
    <mergeCell ref="N115:O115"/>
    <mergeCell ref="D114:E114"/>
    <mergeCell ref="F114:G114"/>
    <mergeCell ref="H114:I114"/>
    <mergeCell ref="J114:K114"/>
    <mergeCell ref="L114:M114"/>
    <mergeCell ref="N114:O114"/>
    <mergeCell ref="D117:E117"/>
    <mergeCell ref="F117:G117"/>
    <mergeCell ref="H117:I117"/>
    <mergeCell ref="J117:K117"/>
    <mergeCell ref="L117:M117"/>
    <mergeCell ref="N117:O117"/>
    <mergeCell ref="D116:E116"/>
    <mergeCell ref="F116:G116"/>
    <mergeCell ref="H116:I116"/>
    <mergeCell ref="J116:K116"/>
    <mergeCell ref="L116:M116"/>
    <mergeCell ref="N116:O116"/>
    <mergeCell ref="D125:E125"/>
    <mergeCell ref="F125:G125"/>
    <mergeCell ref="H125:I125"/>
    <mergeCell ref="J125:K125"/>
    <mergeCell ref="L125:M125"/>
    <mergeCell ref="N125:O125"/>
    <mergeCell ref="D118:E118"/>
    <mergeCell ref="F118:G118"/>
    <mergeCell ref="H118:I118"/>
    <mergeCell ref="J118:K118"/>
    <mergeCell ref="L118:M118"/>
    <mergeCell ref="D119:E119"/>
    <mergeCell ref="F119:G119"/>
    <mergeCell ref="H119:I119"/>
    <mergeCell ref="J119:K119"/>
    <mergeCell ref="L119:M119"/>
    <mergeCell ref="A130:A132"/>
    <mergeCell ref="E130:E132"/>
    <mergeCell ref="G130:G132"/>
    <mergeCell ref="I130:I132"/>
    <mergeCell ref="K130:K132"/>
    <mergeCell ref="M130:M132"/>
    <mergeCell ref="O130:O132"/>
    <mergeCell ref="A127:A129"/>
    <mergeCell ref="E127:E129"/>
    <mergeCell ref="G127:G129"/>
    <mergeCell ref="I127:I129"/>
    <mergeCell ref="K127:K129"/>
    <mergeCell ref="M127:M129"/>
    <mergeCell ref="A136:A138"/>
    <mergeCell ref="E136:E138"/>
    <mergeCell ref="G136:G138"/>
    <mergeCell ref="I136:I138"/>
    <mergeCell ref="K136:K138"/>
    <mergeCell ref="M136:M138"/>
    <mergeCell ref="O136:O138"/>
    <mergeCell ref="A133:A135"/>
    <mergeCell ref="E133:E135"/>
    <mergeCell ref="G133:G135"/>
    <mergeCell ref="I133:I135"/>
    <mergeCell ref="K133:K135"/>
    <mergeCell ref="M133:M135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D145:E145"/>
    <mergeCell ref="F145:G145"/>
    <mergeCell ref="H145:I145"/>
    <mergeCell ref="J145:K145"/>
    <mergeCell ref="L145:M145"/>
    <mergeCell ref="N145:O145"/>
    <mergeCell ref="D144:E144"/>
    <mergeCell ref="F144:G144"/>
    <mergeCell ref="H144:I144"/>
    <mergeCell ref="J144:K144"/>
    <mergeCell ref="L144:M144"/>
    <mergeCell ref="N144:O144"/>
    <mergeCell ref="D147:E147"/>
    <mergeCell ref="F147:G147"/>
    <mergeCell ref="H147:I147"/>
    <mergeCell ref="J147:K147"/>
    <mergeCell ref="L147:M147"/>
    <mergeCell ref="N147:O147"/>
    <mergeCell ref="D146:E146"/>
    <mergeCell ref="F146:G146"/>
    <mergeCell ref="H146:I146"/>
    <mergeCell ref="J146:K146"/>
    <mergeCell ref="L146:M146"/>
    <mergeCell ref="N146:O146"/>
    <mergeCell ref="D155:E155"/>
    <mergeCell ref="F155:G155"/>
    <mergeCell ref="H155:I155"/>
    <mergeCell ref="J155:K155"/>
    <mergeCell ref="L155:M155"/>
    <mergeCell ref="N155:O155"/>
    <mergeCell ref="D148:E148"/>
    <mergeCell ref="F148:G148"/>
    <mergeCell ref="H148:I148"/>
    <mergeCell ref="J148:K148"/>
    <mergeCell ref="L148:M148"/>
    <mergeCell ref="D149:E149"/>
    <mergeCell ref="F149:G149"/>
    <mergeCell ref="H149:I149"/>
    <mergeCell ref="J149:K149"/>
    <mergeCell ref="L149:M149"/>
    <mergeCell ref="M151:O151"/>
    <mergeCell ref="A160:A162"/>
    <mergeCell ref="E160:E162"/>
    <mergeCell ref="G160:G162"/>
    <mergeCell ref="I160:I162"/>
    <mergeCell ref="K160:K162"/>
    <mergeCell ref="M160:M162"/>
    <mergeCell ref="O160:O162"/>
    <mergeCell ref="A157:A159"/>
    <mergeCell ref="E157:E159"/>
    <mergeCell ref="G157:G159"/>
    <mergeCell ref="I157:I159"/>
    <mergeCell ref="K157:K159"/>
    <mergeCell ref="M157:M159"/>
    <mergeCell ref="A166:A168"/>
    <mergeCell ref="E166:E168"/>
    <mergeCell ref="G166:G168"/>
    <mergeCell ref="I166:I168"/>
    <mergeCell ref="K166:K168"/>
    <mergeCell ref="M166:M168"/>
    <mergeCell ref="O166:O168"/>
    <mergeCell ref="A163:A165"/>
    <mergeCell ref="E163:E165"/>
    <mergeCell ref="G163:G165"/>
    <mergeCell ref="I163:I165"/>
    <mergeCell ref="K163:K165"/>
    <mergeCell ref="M163:M165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D175:E175"/>
    <mergeCell ref="F175:G175"/>
    <mergeCell ref="H175:I175"/>
    <mergeCell ref="J175:K175"/>
    <mergeCell ref="L175:M175"/>
    <mergeCell ref="N175:O175"/>
    <mergeCell ref="D174:E174"/>
    <mergeCell ref="F174:G174"/>
    <mergeCell ref="H174:I174"/>
    <mergeCell ref="J174:K174"/>
    <mergeCell ref="L174:M174"/>
    <mergeCell ref="N174:O174"/>
    <mergeCell ref="D177:E177"/>
    <mergeCell ref="F177:G177"/>
    <mergeCell ref="H177:I177"/>
    <mergeCell ref="J177:K177"/>
    <mergeCell ref="L177:M177"/>
    <mergeCell ref="N177:O177"/>
    <mergeCell ref="D176:E176"/>
    <mergeCell ref="F176:G176"/>
    <mergeCell ref="H176:I176"/>
    <mergeCell ref="J176:K176"/>
    <mergeCell ref="L176:M176"/>
    <mergeCell ref="N176:O176"/>
    <mergeCell ref="D178:E178"/>
    <mergeCell ref="F178:G178"/>
    <mergeCell ref="H178:I178"/>
    <mergeCell ref="J178:K178"/>
    <mergeCell ref="L178:M178"/>
    <mergeCell ref="D179:E179"/>
    <mergeCell ref="F179:G179"/>
    <mergeCell ref="H179:I179"/>
    <mergeCell ref="J179:K179"/>
    <mergeCell ref="L179:M179"/>
    <mergeCell ref="R157:R159"/>
    <mergeCell ref="R10:R12"/>
    <mergeCell ref="R7:R9"/>
    <mergeCell ref="R16:R18"/>
    <mergeCell ref="R37:R39"/>
    <mergeCell ref="R43:R45"/>
    <mergeCell ref="R40:R42"/>
    <mergeCell ref="N179:O179"/>
    <mergeCell ref="N178:O178"/>
    <mergeCell ref="R13:R15"/>
    <mergeCell ref="R67:R69"/>
    <mergeCell ref="R76:R78"/>
    <mergeCell ref="R73:R75"/>
    <mergeCell ref="R166:R168"/>
    <mergeCell ref="R163:R165"/>
    <mergeCell ref="R70:R72"/>
    <mergeCell ref="R97:R99"/>
    <mergeCell ref="O163:O165"/>
    <mergeCell ref="O157:O159"/>
    <mergeCell ref="N149:O149"/>
    <mergeCell ref="N148:O148"/>
    <mergeCell ref="O133:O135"/>
    <mergeCell ref="O127:O129"/>
    <mergeCell ref="N57:O57"/>
    <mergeCell ref="B25:C25"/>
    <mergeCell ref="B26:C26"/>
    <mergeCell ref="B27:C27"/>
    <mergeCell ref="B28:C28"/>
    <mergeCell ref="B29:C29"/>
    <mergeCell ref="H29:I29"/>
    <mergeCell ref="D56:E56"/>
    <mergeCell ref="D53:E53"/>
    <mergeCell ref="F53:G53"/>
    <mergeCell ref="H53:I53"/>
    <mergeCell ref="D26:E26"/>
    <mergeCell ref="F26:G26"/>
    <mergeCell ref="H26:I26"/>
    <mergeCell ref="D55:E55"/>
    <mergeCell ref="F55:G55"/>
    <mergeCell ref="H55:I55"/>
    <mergeCell ref="D35:E35"/>
    <mergeCell ref="F35:G35"/>
    <mergeCell ref="H35:I35"/>
    <mergeCell ref="B179:C179"/>
    <mergeCell ref="B149:C149"/>
    <mergeCell ref="B175:C175"/>
    <mergeCell ref="B176:C176"/>
    <mergeCell ref="B177:C177"/>
    <mergeCell ref="B89:C89"/>
    <mergeCell ref="B115:C115"/>
    <mergeCell ref="B116:C116"/>
    <mergeCell ref="B117:C117"/>
    <mergeCell ref="B118:C118"/>
    <mergeCell ref="B119:C119"/>
    <mergeCell ref="B178:C178"/>
    <mergeCell ref="B145:C145"/>
    <mergeCell ref="B146:C146"/>
    <mergeCell ref="B147:C147"/>
    <mergeCell ref="B148:C148"/>
    <mergeCell ref="B59:C59"/>
    <mergeCell ref="B85:C85"/>
    <mergeCell ref="B86:C86"/>
    <mergeCell ref="B87:C87"/>
    <mergeCell ref="B88:C88"/>
    <mergeCell ref="L29:M29"/>
    <mergeCell ref="B55:C55"/>
    <mergeCell ref="B56:C56"/>
    <mergeCell ref="B57:C57"/>
    <mergeCell ref="B58:C58"/>
    <mergeCell ref="D58:E58"/>
    <mergeCell ref="F58:G58"/>
    <mergeCell ref="H58:I58"/>
    <mergeCell ref="D86:E86"/>
    <mergeCell ref="F86:G86"/>
    <mergeCell ref="H86:I86"/>
    <mergeCell ref="J86:K86"/>
    <mergeCell ref="L86:M86"/>
    <mergeCell ref="D87:E87"/>
    <mergeCell ref="F87:G87"/>
    <mergeCell ref="H87:I87"/>
    <mergeCell ref="J87:K87"/>
    <mergeCell ref="L87:M87"/>
    <mergeCell ref="D85:E85"/>
    <mergeCell ref="R160:R162"/>
    <mergeCell ref="R127:R129"/>
    <mergeCell ref="R136:R138"/>
    <mergeCell ref="R133:R135"/>
    <mergeCell ref="AC22:AD22"/>
    <mergeCell ref="U25:V25"/>
    <mergeCell ref="Y25:Z25"/>
    <mergeCell ref="AC25:AD25"/>
    <mergeCell ref="U23:V23"/>
    <mergeCell ref="W23:X23"/>
    <mergeCell ref="AD91:AF91"/>
    <mergeCell ref="AD121:AF121"/>
    <mergeCell ref="AD151:AF151"/>
    <mergeCell ref="U113:V113"/>
    <mergeCell ref="AA115:AB115"/>
    <mergeCell ref="AC113:AD113"/>
    <mergeCell ref="U143:V143"/>
    <mergeCell ref="W143:X143"/>
    <mergeCell ref="Y143:Z143"/>
    <mergeCell ref="AA143:AB143"/>
    <mergeCell ref="AC143:AD143"/>
    <mergeCell ref="U115:V115"/>
    <mergeCell ref="W115:X115"/>
    <mergeCell ref="Y115:Z115"/>
    <mergeCell ref="W29:X29"/>
    <mergeCell ref="U22:V22"/>
    <mergeCell ref="W22:X22"/>
    <mergeCell ref="Y22:Z22"/>
    <mergeCell ref="AA22:AB22"/>
    <mergeCell ref="U26:V26"/>
    <mergeCell ref="AC26:AD26"/>
    <mergeCell ref="AC27:AD27"/>
    <mergeCell ref="AC28:AD28"/>
    <mergeCell ref="AC29:AD29"/>
    <mergeCell ref="Y29:Z29"/>
    <mergeCell ref="AA29:AB29"/>
    <mergeCell ref="U29:V29"/>
    <mergeCell ref="U52:V52"/>
    <mergeCell ref="W52:X52"/>
    <mergeCell ref="Y52:Z52"/>
    <mergeCell ref="AA52:AB52"/>
    <mergeCell ref="AC52:AD52"/>
    <mergeCell ref="AD31:AF31"/>
    <mergeCell ref="U35:V35"/>
    <mergeCell ref="W35:X35"/>
    <mergeCell ref="Y35:Z35"/>
    <mergeCell ref="AA35:AB35"/>
    <mergeCell ref="AC35:AD35"/>
    <mergeCell ref="AE35:AF35"/>
    <mergeCell ref="U55:V55"/>
    <mergeCell ref="W55:X55"/>
    <mergeCell ref="Y55:Z55"/>
    <mergeCell ref="AA55:AB55"/>
    <mergeCell ref="AC55:AD55"/>
    <mergeCell ref="U56:V56"/>
    <mergeCell ref="W56:X56"/>
    <mergeCell ref="Y56:Z56"/>
    <mergeCell ref="AA56:AB56"/>
    <mergeCell ref="AC56:AD56"/>
    <mergeCell ref="Y83:Z83"/>
    <mergeCell ref="AA83:AB83"/>
    <mergeCell ref="AC83:AD83"/>
    <mergeCell ref="AD61:AF61"/>
    <mergeCell ref="U57:V57"/>
    <mergeCell ref="W57:X57"/>
    <mergeCell ref="Y57:Z57"/>
    <mergeCell ref="AA57:AB57"/>
    <mergeCell ref="AC57:AD57"/>
    <mergeCell ref="U58:V58"/>
    <mergeCell ref="W58:X58"/>
    <mergeCell ref="Y58:Z58"/>
    <mergeCell ref="AA58:AB58"/>
    <mergeCell ref="AC58:AD58"/>
    <mergeCell ref="U59:V59"/>
    <mergeCell ref="W59:X59"/>
    <mergeCell ref="Y59:Z59"/>
    <mergeCell ref="AA59:AB59"/>
    <mergeCell ref="AC59:AD59"/>
    <mergeCell ref="U82:V82"/>
    <mergeCell ref="W82:X82"/>
    <mergeCell ref="Y82:Z82"/>
    <mergeCell ref="AA82:AB82"/>
    <mergeCell ref="AC82:AD82"/>
    <mergeCell ref="U112:V112"/>
    <mergeCell ref="W112:X112"/>
    <mergeCell ref="Y112:Z112"/>
    <mergeCell ref="AA112:AB112"/>
    <mergeCell ref="AC112:AD112"/>
    <mergeCell ref="U87:V87"/>
    <mergeCell ref="W87:X87"/>
    <mergeCell ref="Y87:Z87"/>
    <mergeCell ref="AA87:AB87"/>
    <mergeCell ref="AC87:AD87"/>
    <mergeCell ref="U88:V88"/>
    <mergeCell ref="W88:X88"/>
    <mergeCell ref="Y88:Z88"/>
    <mergeCell ref="AA88:AB88"/>
    <mergeCell ref="AC88:AD88"/>
    <mergeCell ref="U95:V95"/>
    <mergeCell ref="W95:X95"/>
    <mergeCell ref="Y95:Z95"/>
    <mergeCell ref="AA95:AB95"/>
    <mergeCell ref="AC95:AD95"/>
    <mergeCell ref="U116:V116"/>
    <mergeCell ref="W116:X116"/>
    <mergeCell ref="Y116:Z116"/>
    <mergeCell ref="AA116:AB116"/>
    <mergeCell ref="AC116:AD116"/>
    <mergeCell ref="U117:V117"/>
    <mergeCell ref="W117:X117"/>
    <mergeCell ref="Y117:Z117"/>
    <mergeCell ref="AA117:AB117"/>
    <mergeCell ref="AC117:AD117"/>
    <mergeCell ref="U118:V118"/>
    <mergeCell ref="W118:X118"/>
    <mergeCell ref="Y118:Z118"/>
    <mergeCell ref="AA118:AB118"/>
    <mergeCell ref="AC118:AD118"/>
    <mergeCell ref="U119:V119"/>
    <mergeCell ref="W119:X119"/>
    <mergeCell ref="Y119:Z119"/>
    <mergeCell ref="AA119:AB119"/>
    <mergeCell ref="AC119:AD119"/>
    <mergeCell ref="Y146:Z146"/>
    <mergeCell ref="AA146:AB146"/>
    <mergeCell ref="AC146:AD146"/>
    <mergeCell ref="U147:V147"/>
    <mergeCell ref="W147:X147"/>
    <mergeCell ref="Y147:Z147"/>
    <mergeCell ref="AA147:AB147"/>
    <mergeCell ref="AC147:AD147"/>
    <mergeCell ref="U142:V142"/>
    <mergeCell ref="W142:X142"/>
    <mergeCell ref="Y142:Z142"/>
    <mergeCell ref="AA142:AB142"/>
    <mergeCell ref="AC142:AD142"/>
    <mergeCell ref="U145:V145"/>
    <mergeCell ref="W145:X145"/>
    <mergeCell ref="Y145:Z145"/>
    <mergeCell ref="AA145:AB145"/>
    <mergeCell ref="AC145:AD145"/>
    <mergeCell ref="U172:V172"/>
    <mergeCell ref="W172:X172"/>
    <mergeCell ref="Y172:Z172"/>
    <mergeCell ref="AA172:AB172"/>
    <mergeCell ref="AC172:AD172"/>
    <mergeCell ref="U175:V175"/>
    <mergeCell ref="W175:X175"/>
    <mergeCell ref="Y175:Z175"/>
    <mergeCell ref="AA175:AB175"/>
    <mergeCell ref="AC175:AD175"/>
    <mergeCell ref="U173:V173"/>
    <mergeCell ref="W173:X173"/>
    <mergeCell ref="Y173:Z173"/>
    <mergeCell ref="AA173:AB173"/>
    <mergeCell ref="AC173:AD173"/>
    <mergeCell ref="U176:V176"/>
    <mergeCell ref="W176:X176"/>
    <mergeCell ref="Y176:Z176"/>
    <mergeCell ref="AA176:AB176"/>
    <mergeCell ref="AC176:AD176"/>
    <mergeCell ref="U177:V177"/>
    <mergeCell ref="W177:X177"/>
    <mergeCell ref="Y177:Z177"/>
    <mergeCell ref="AA177:AB177"/>
    <mergeCell ref="AC177:AD177"/>
    <mergeCell ref="U178:V178"/>
    <mergeCell ref="W178:X178"/>
    <mergeCell ref="Y178:Z178"/>
    <mergeCell ref="AA178:AB178"/>
    <mergeCell ref="AC178:AD178"/>
    <mergeCell ref="U179:V179"/>
    <mergeCell ref="W179:X179"/>
    <mergeCell ref="Y179:Z179"/>
    <mergeCell ref="AA179:AB179"/>
    <mergeCell ref="AC179:AD179"/>
    <mergeCell ref="U5:V5"/>
    <mergeCell ref="W5:X5"/>
    <mergeCell ref="Y5:Z5"/>
    <mergeCell ref="AA5:AB5"/>
    <mergeCell ref="AC5:AD5"/>
    <mergeCell ref="AE5:AF5"/>
    <mergeCell ref="Y26:Z26"/>
    <mergeCell ref="Y27:Z27"/>
    <mergeCell ref="Y28:Z28"/>
    <mergeCell ref="AA25:AB25"/>
    <mergeCell ref="AA26:AB26"/>
    <mergeCell ref="AA27:AB27"/>
    <mergeCell ref="AA28:AB28"/>
    <mergeCell ref="U27:V27"/>
    <mergeCell ref="U28:V28"/>
    <mergeCell ref="Y23:Z23"/>
    <mergeCell ref="AA23:AB23"/>
    <mergeCell ref="AC23:AD23"/>
    <mergeCell ref="W25:X25"/>
    <mergeCell ref="W26:X26"/>
    <mergeCell ref="W27:X27"/>
    <mergeCell ref="W28:X28"/>
    <mergeCell ref="AE95:AF95"/>
    <mergeCell ref="U65:V65"/>
    <mergeCell ref="W65:X65"/>
    <mergeCell ref="Y65:Z65"/>
    <mergeCell ref="AA65:AB65"/>
    <mergeCell ref="AC65:AD65"/>
    <mergeCell ref="AE65:AF65"/>
    <mergeCell ref="U89:V89"/>
    <mergeCell ref="W89:X89"/>
    <mergeCell ref="Y89:Z89"/>
    <mergeCell ref="AA89:AB89"/>
    <mergeCell ref="AC89:AD89"/>
    <mergeCell ref="U85:V85"/>
    <mergeCell ref="W85:X85"/>
    <mergeCell ref="Y85:Z85"/>
    <mergeCell ref="AA85:AB85"/>
    <mergeCell ref="AC85:AD85"/>
    <mergeCell ref="U86:V86"/>
    <mergeCell ref="W86:X86"/>
    <mergeCell ref="Y86:Z86"/>
    <mergeCell ref="AA86:AB86"/>
    <mergeCell ref="AC86:AD86"/>
    <mergeCell ref="U83:V83"/>
    <mergeCell ref="W83:X83"/>
    <mergeCell ref="U155:V155"/>
    <mergeCell ref="W155:X155"/>
    <mergeCell ref="Y155:Z155"/>
    <mergeCell ref="AA155:AB155"/>
    <mergeCell ref="AC155:AD155"/>
    <mergeCell ref="AE155:AF155"/>
    <mergeCell ref="U125:V125"/>
    <mergeCell ref="W125:X125"/>
    <mergeCell ref="Y125:Z125"/>
    <mergeCell ref="AA125:AB125"/>
    <mergeCell ref="AC125:AD125"/>
    <mergeCell ref="AE125:AF125"/>
    <mergeCell ref="U148:V148"/>
    <mergeCell ref="W148:X148"/>
    <mergeCell ref="Y148:Z148"/>
    <mergeCell ref="AA148:AB148"/>
    <mergeCell ref="AC148:AD148"/>
    <mergeCell ref="U149:V149"/>
    <mergeCell ref="W149:X149"/>
    <mergeCell ref="Y149:Z149"/>
    <mergeCell ref="AA149:AB149"/>
    <mergeCell ref="AC149:AD149"/>
    <mergeCell ref="U146:V146"/>
    <mergeCell ref="W146:X146"/>
  </mergeCells>
  <dataValidations count="1">
    <dataValidation type="whole" allowBlank="1" showErrorMessage="1" error="Es sind nur Zahlen zwischen -300 und 300 erlaubt!" sqref="U157:AD168 U127:AD138 U37:AD48 U67:AD78 U97:AD108 U7:AD18" xr:uid="{4D3F7EC6-E92B-439A-9349-3E8A66B6F986}">
      <formula1>-300</formula1>
      <formula2>300</formula2>
    </dataValidation>
  </dataValidations>
  <printOptions horizontalCentered="1"/>
  <pageMargins left="0.70866141732283472" right="0.70866141732283472" top="0.59055118110236227" bottom="0.59055118110236227" header="0.31496062992125984" footer="0.31496062992125984"/>
  <pageSetup paperSize="9" orientation="landscape" r:id="rId1"/>
  <headerFooter>
    <oddHeader>&amp;R&amp;G</oddHeader>
  </headerFooter>
  <rowBreaks count="5" manualBreakCount="5">
    <brk id="30" max="31" man="1"/>
    <brk id="60" max="31" man="1"/>
    <brk id="90" max="31" man="1"/>
    <brk id="120" max="31" man="1"/>
    <brk id="150" max="3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AE6F8-1336-4DA9-8533-31112B626908}">
  <sheetPr>
    <tabColor rgb="FFFFFF00"/>
  </sheetPr>
  <dimension ref="A1:AF22"/>
  <sheetViews>
    <sheetView workbookViewId="0">
      <selection activeCell="D85" sqref="D85:M85"/>
    </sheetView>
  </sheetViews>
  <sheetFormatPr baseColWidth="10" defaultRowHeight="12.75" x14ac:dyDescent="0.2"/>
  <cols>
    <col min="1" max="1" width="4.140625" customWidth="1"/>
    <col min="2" max="2" width="21.7109375" customWidth="1"/>
    <col min="3" max="3" width="6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9.42578125" customWidth="1"/>
    <col min="14" max="14" width="7.85546875" customWidth="1"/>
    <col min="16" max="25" width="11.42578125" customWidth="1"/>
    <col min="26" max="26" width="14.285156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0" width="11.42578125" customWidth="1"/>
  </cols>
  <sheetData>
    <row r="1" spans="1:31" ht="28.5" customHeight="1" x14ac:dyDescent="0.2">
      <c r="A1" s="378" t="str">
        <f>Schlüssel!$C$1</f>
        <v>Bezirksliga N1 Männer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51"/>
      <c r="Q1" s="51"/>
      <c r="R1" s="51"/>
      <c r="S1" s="51"/>
      <c r="T1" s="51"/>
      <c r="U1" s="51"/>
      <c r="V1" s="51"/>
      <c r="W1" s="51"/>
      <c r="X1" s="51"/>
      <c r="Y1" s="51"/>
      <c r="AA1" s="215" t="s">
        <v>2091</v>
      </c>
    </row>
    <row r="2" spans="1:31" ht="28.5" customHeight="1" x14ac:dyDescent="0.2">
      <c r="A2" s="379" t="str">
        <f>"Saison "&amp;Spielorte!C18&amp;"     -     Spieltag "&amp;Erfassung1!AD2&amp;"     -     "&amp;TEXT(Erfassung1!AD1,"T. MMMM JJJJ")</f>
        <v>Saison 2024/2025     -     Spieltag 1     -     13.10.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51"/>
      <c r="Q2" s="51"/>
      <c r="R2" s="51"/>
      <c r="S2" s="51"/>
      <c r="T2" s="51"/>
      <c r="U2" s="51"/>
      <c r="V2" s="51"/>
      <c r="W2" s="51"/>
      <c r="X2" s="51"/>
      <c r="Y2" s="51"/>
    </row>
    <row r="3" spans="1:31" ht="28.5" customHeight="1" x14ac:dyDescent="0.2">
      <c r="A3" s="379" t="str">
        <f>Schlüssel!$C$2</f>
        <v>Nürnberg West Bowling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51"/>
      <c r="Q3" s="51"/>
      <c r="R3" s="51"/>
      <c r="S3" s="51"/>
      <c r="T3" s="51"/>
      <c r="U3" s="51"/>
      <c r="V3" s="51"/>
      <c r="W3" s="51"/>
      <c r="X3" s="51"/>
      <c r="Y3" s="51"/>
    </row>
    <row r="4" spans="1:31" ht="28.5" customHeight="1" thickBot="1" x14ac:dyDescent="0.35">
      <c r="A4" s="64"/>
      <c r="B4" s="64"/>
      <c r="C4" s="205"/>
      <c r="D4" s="206"/>
      <c r="E4" s="64"/>
      <c r="F4" s="206"/>
      <c r="G4" s="206"/>
      <c r="H4" s="206"/>
      <c r="I4" s="206"/>
      <c r="J4" s="206"/>
      <c r="K4" s="206"/>
      <c r="L4" s="206"/>
      <c r="M4" s="207"/>
      <c r="N4" s="64"/>
      <c r="O4" s="208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31" x14ac:dyDescent="0.2">
      <c r="A5" s="380" t="s">
        <v>1803</v>
      </c>
      <c r="B5" s="383" t="s">
        <v>1804</v>
      </c>
      <c r="C5" s="385" t="s">
        <v>1792</v>
      </c>
      <c r="D5" s="386"/>
      <c r="E5" s="385" t="s">
        <v>1793</v>
      </c>
      <c r="F5" s="386"/>
      <c r="G5" s="385" t="s">
        <v>1794</v>
      </c>
      <c r="H5" s="386"/>
      <c r="I5" s="385" t="s">
        <v>1795</v>
      </c>
      <c r="J5" s="386"/>
      <c r="K5" s="385" t="s">
        <v>1796</v>
      </c>
      <c r="L5" s="386"/>
      <c r="M5" s="385" t="s">
        <v>1791</v>
      </c>
      <c r="N5" s="386"/>
      <c r="O5" s="389" t="s">
        <v>1805</v>
      </c>
      <c r="P5" s="51"/>
      <c r="Q5" s="51"/>
      <c r="R5" s="51"/>
      <c r="S5" s="51"/>
      <c r="T5" s="51"/>
      <c r="U5" s="51"/>
      <c r="V5" s="51"/>
      <c r="W5" s="51"/>
      <c r="X5" s="51"/>
      <c r="Y5" s="51"/>
    </row>
    <row r="6" spans="1:31" ht="13.5" thickBot="1" x14ac:dyDescent="0.25">
      <c r="A6" s="381"/>
      <c r="B6" s="384"/>
      <c r="C6" s="74" t="s">
        <v>1806</v>
      </c>
      <c r="D6" s="75" t="s">
        <v>1800</v>
      </c>
      <c r="E6" s="74" t="s">
        <v>1806</v>
      </c>
      <c r="F6" s="75" t="s">
        <v>1800</v>
      </c>
      <c r="G6" s="74" t="s">
        <v>1806</v>
      </c>
      <c r="H6" s="75" t="s">
        <v>1800</v>
      </c>
      <c r="I6" s="74" t="s">
        <v>1806</v>
      </c>
      <c r="J6" s="75" t="s">
        <v>1800</v>
      </c>
      <c r="K6" s="74" t="s">
        <v>1806</v>
      </c>
      <c r="L6" s="75" t="s">
        <v>1800</v>
      </c>
      <c r="M6" s="74" t="s">
        <v>1799</v>
      </c>
      <c r="N6" s="75" t="s">
        <v>1800</v>
      </c>
      <c r="O6" s="390"/>
      <c r="P6" s="51"/>
      <c r="Q6" s="51"/>
      <c r="R6" s="51"/>
      <c r="S6" s="51"/>
      <c r="T6" s="51"/>
      <c r="U6" s="51"/>
      <c r="V6" s="51"/>
      <c r="W6" s="51"/>
      <c r="X6" s="51"/>
      <c r="Y6" s="51"/>
      <c r="AA6" s="215" t="s">
        <v>1799</v>
      </c>
      <c r="AB6" s="215" t="s">
        <v>2078</v>
      </c>
      <c r="AC6" s="215" t="s">
        <v>2090</v>
      </c>
      <c r="AD6" s="215" t="s">
        <v>1822</v>
      </c>
      <c r="AE6" s="215" t="s">
        <v>1819</v>
      </c>
    </row>
    <row r="7" spans="1:31" ht="42" customHeight="1" thickBot="1" x14ac:dyDescent="0.25">
      <c r="A7" s="209">
        <v>1</v>
      </c>
      <c r="B7" s="121" t="str">
        <f>INDEX(Erfassung1!$S:$S,MATCH($A7,Erfassung1!$BN:$BN,0)-17)</f>
        <v>Castra Regina Regensburg 2</v>
      </c>
      <c r="C7" s="99">
        <f>INDEX(Erfassung1!U:U,MATCH($A7,Erfassung1!$BN:$BN,0)-1)</f>
        <v>791</v>
      </c>
      <c r="D7" s="100">
        <f>INDEX(Erfassung1!V:V,MATCH($A7,Erfassung1!$BN:$BN,0))</f>
        <v>5</v>
      </c>
      <c r="E7" s="99">
        <f>INDEX(Erfassung1!W:W,MATCH($A7,Erfassung1!$BN:$BN,0)-1)</f>
        <v>863</v>
      </c>
      <c r="F7" s="100">
        <f>INDEX(Erfassung1!X:X,MATCH($A7,Erfassung1!$BN:$BN,0))</f>
        <v>6</v>
      </c>
      <c r="G7" s="99">
        <f>INDEX(Erfassung1!Y:Y,MATCH($A7,Erfassung1!$BN:$BN,0)-1)</f>
        <v>765</v>
      </c>
      <c r="H7" s="100">
        <f>INDEX(Erfassung1!Z:Z,MATCH($A7,Erfassung1!$BN:$BN,0))</f>
        <v>4</v>
      </c>
      <c r="I7" s="99">
        <f>INDEX(Erfassung1!AA:AA,MATCH($A7,Erfassung1!$BN:$BN,0)-1)</f>
        <v>750</v>
      </c>
      <c r="J7" s="100">
        <f>INDEX(Erfassung1!AB:AB,MATCH($A7,Erfassung1!$BN:$BN,0))</f>
        <v>6</v>
      </c>
      <c r="K7" s="99">
        <f>INDEX(Erfassung1!AC:AC,MATCH($A7,Erfassung1!$BN:$BN,0)-1)</f>
        <v>770</v>
      </c>
      <c r="L7" s="100">
        <f>INDEX(Erfassung1!AD:AD,MATCH($A7,Erfassung1!$BN:$BN,0))</f>
        <v>5</v>
      </c>
      <c r="M7" s="101">
        <f t="shared" ref="M7:N12" si="0">SUM(C7+E7+G7+I7+K7)</f>
        <v>3939</v>
      </c>
      <c r="N7" s="102">
        <f t="shared" si="0"/>
        <v>26</v>
      </c>
      <c r="O7" s="76">
        <f>IFERROR(M7/INDEX(Erfassung1!BF:BF,MATCH(A7,Erfassung1!BN:BN,0)),0)</f>
        <v>196.95</v>
      </c>
      <c r="P7" s="51"/>
      <c r="Q7" s="51"/>
      <c r="R7" s="51"/>
      <c r="S7" s="51"/>
      <c r="T7" s="51"/>
      <c r="U7" s="51"/>
      <c r="V7" s="51"/>
      <c r="W7" s="51"/>
      <c r="X7" s="51"/>
      <c r="Y7" s="51"/>
      <c r="AE7" s="215">
        <f>SUMIF(Erfassung1!BQ:BQ,B7,Erfassung1!BF:BF)</f>
        <v>20</v>
      </c>
    </row>
    <row r="8" spans="1:31" ht="42" customHeight="1" thickBot="1" x14ac:dyDescent="0.25">
      <c r="A8" s="209">
        <v>2</v>
      </c>
      <c r="B8" s="121" t="str">
        <f>INDEX(Erfassung1!$S:$S,MATCH($A8,Erfassung1!$BN:$BN,0)-17)</f>
        <v>Castra Regina Regensburg 3</v>
      </c>
      <c r="C8" s="99">
        <f>INDEX(Erfassung1!U:U,MATCH($A8,Erfassung1!$BN:$BN,0)-1)</f>
        <v>665</v>
      </c>
      <c r="D8" s="100">
        <f>INDEX(Erfassung1!V:V,MATCH($A8,Erfassung1!$BN:$BN,0))</f>
        <v>5</v>
      </c>
      <c r="E8" s="99">
        <f>INDEX(Erfassung1!W:W,MATCH($A8,Erfassung1!$BN:$BN,0)-1)</f>
        <v>676</v>
      </c>
      <c r="F8" s="100">
        <f>INDEX(Erfassung1!X:X,MATCH($A8,Erfassung1!$BN:$BN,0))</f>
        <v>2</v>
      </c>
      <c r="G8" s="99">
        <f>INDEX(Erfassung1!Y:Y,MATCH($A8,Erfassung1!$BN:$BN,0)-1)</f>
        <v>768</v>
      </c>
      <c r="H8" s="100">
        <f>INDEX(Erfassung1!Z:Z,MATCH($A8,Erfassung1!$BN:$BN,0))</f>
        <v>5</v>
      </c>
      <c r="I8" s="99">
        <f>INDEX(Erfassung1!AA:AA,MATCH($A8,Erfassung1!$BN:$BN,0)-1)</f>
        <v>754</v>
      </c>
      <c r="J8" s="100">
        <f>INDEX(Erfassung1!AB:AB,MATCH($A8,Erfassung1!$BN:$BN,0))</f>
        <v>6</v>
      </c>
      <c r="K8" s="99">
        <f>INDEX(Erfassung1!AC:AC,MATCH($A8,Erfassung1!$BN:$BN,0)-1)</f>
        <v>688</v>
      </c>
      <c r="L8" s="100">
        <f>INDEX(Erfassung1!AD:AD,MATCH($A8,Erfassung1!$BN:$BN,0))</f>
        <v>1</v>
      </c>
      <c r="M8" s="101">
        <f t="shared" si="0"/>
        <v>3551</v>
      </c>
      <c r="N8" s="102">
        <f t="shared" si="0"/>
        <v>19</v>
      </c>
      <c r="O8" s="76">
        <f>IFERROR(M8/INDEX(Erfassung1!BF:BF,MATCH(A8,Erfassung1!BN:BN,0)),0)</f>
        <v>177.55</v>
      </c>
      <c r="P8" s="51"/>
      <c r="Q8" s="51"/>
      <c r="R8" s="51"/>
      <c r="S8" s="51"/>
      <c r="T8" s="51"/>
      <c r="U8" s="51"/>
      <c r="V8" s="51"/>
      <c r="W8" s="51"/>
      <c r="X8" s="51"/>
      <c r="Y8" s="51"/>
      <c r="AE8" s="215">
        <f>SUMIF(Erfassung1!BQ:BQ,B8,Erfassung1!BF:BF)</f>
        <v>20</v>
      </c>
    </row>
    <row r="9" spans="1:31" ht="42" customHeight="1" thickBot="1" x14ac:dyDescent="0.25">
      <c r="A9" s="209">
        <v>3</v>
      </c>
      <c r="B9" s="121" t="str">
        <f>INDEX(Erfassung1!$S:$S,MATCH($A9,Erfassung1!$BN:$BN,0)-17)</f>
        <v>Adler Nürnberg 1</v>
      </c>
      <c r="C9" s="99">
        <f>INDEX(Erfassung1!U:U,MATCH($A9,Erfassung1!$BN:$BN,0)-1)</f>
        <v>683</v>
      </c>
      <c r="D9" s="100">
        <f>INDEX(Erfassung1!V:V,MATCH($A9,Erfassung1!$BN:$BN,0))</f>
        <v>1</v>
      </c>
      <c r="E9" s="99">
        <f>INDEX(Erfassung1!W:W,MATCH($A9,Erfassung1!$BN:$BN,0)-1)</f>
        <v>678</v>
      </c>
      <c r="F9" s="100">
        <f>INDEX(Erfassung1!X:X,MATCH($A9,Erfassung1!$BN:$BN,0))</f>
        <v>4</v>
      </c>
      <c r="G9" s="99">
        <f>INDEX(Erfassung1!Y:Y,MATCH($A9,Erfassung1!$BN:$BN,0)-1)</f>
        <v>720</v>
      </c>
      <c r="H9" s="100">
        <f>INDEX(Erfassung1!Z:Z,MATCH($A9,Erfassung1!$BN:$BN,0))</f>
        <v>5.5</v>
      </c>
      <c r="I9" s="99">
        <f>INDEX(Erfassung1!AA:AA,MATCH($A9,Erfassung1!$BN:$BN,0)-1)</f>
        <v>714</v>
      </c>
      <c r="J9" s="100">
        <f>INDEX(Erfassung1!AB:AB,MATCH($A9,Erfassung1!$BN:$BN,0))</f>
        <v>3</v>
      </c>
      <c r="K9" s="99">
        <f>INDEX(Erfassung1!AC:AC,MATCH($A9,Erfassung1!$BN:$BN,0)-1)</f>
        <v>659</v>
      </c>
      <c r="L9" s="100">
        <f>INDEX(Erfassung1!AD:AD,MATCH($A9,Erfassung1!$BN:$BN,0))</f>
        <v>4</v>
      </c>
      <c r="M9" s="101">
        <f t="shared" si="0"/>
        <v>3454</v>
      </c>
      <c r="N9" s="102">
        <f t="shared" si="0"/>
        <v>17.5</v>
      </c>
      <c r="O9" s="76">
        <f>IFERROR(M9/INDEX(Erfassung1!BF:BF,MATCH(A9,Erfassung1!BN:BN,0)),0)</f>
        <v>172.7</v>
      </c>
      <c r="P9" s="51"/>
      <c r="Q9" s="51"/>
      <c r="R9" s="51"/>
      <c r="S9" s="51"/>
      <c r="T9" s="51"/>
      <c r="U9" s="51"/>
      <c r="V9" s="51"/>
      <c r="W9" s="51"/>
      <c r="X9" s="51"/>
      <c r="Y9" s="51"/>
      <c r="AE9" s="215">
        <f>SUMIF(Erfassung1!BQ:BQ,B9,Erfassung1!BF:BF)</f>
        <v>20</v>
      </c>
    </row>
    <row r="10" spans="1:31" ht="42" customHeight="1" thickBot="1" x14ac:dyDescent="0.25">
      <c r="A10" s="209">
        <v>4</v>
      </c>
      <c r="B10" s="121" t="str">
        <f>INDEX(Erfassung1!$S:$S,MATCH($A10,Erfassung1!$BN:$BN,0)-17)</f>
        <v>Herzogenaurach 1</v>
      </c>
      <c r="C10" s="99">
        <f>INDEX(Erfassung1!U:U,MATCH($A10,Erfassung1!$BN:$BN,0)-1)</f>
        <v>659</v>
      </c>
      <c r="D10" s="100">
        <f>INDEX(Erfassung1!V:V,MATCH($A10,Erfassung1!$BN:$BN,0))</f>
        <v>1</v>
      </c>
      <c r="E10" s="99">
        <f>INDEX(Erfassung1!W:W,MATCH($A10,Erfassung1!$BN:$BN,0)-1)</f>
        <v>686</v>
      </c>
      <c r="F10" s="100">
        <f>INDEX(Erfassung1!X:X,MATCH($A10,Erfassung1!$BN:$BN,0))</f>
        <v>2</v>
      </c>
      <c r="G10" s="99">
        <f>INDEX(Erfassung1!Y:Y,MATCH($A10,Erfassung1!$BN:$BN,0)-1)</f>
        <v>697</v>
      </c>
      <c r="H10" s="100">
        <f>INDEX(Erfassung1!Z:Z,MATCH($A10,Erfassung1!$BN:$BN,0))</f>
        <v>2</v>
      </c>
      <c r="I10" s="99">
        <f>INDEX(Erfassung1!AA:AA,MATCH($A10,Erfassung1!$BN:$BN,0)-1)</f>
        <v>729</v>
      </c>
      <c r="J10" s="100">
        <f>INDEX(Erfassung1!AB:AB,MATCH($A10,Erfassung1!$BN:$BN,0))</f>
        <v>3</v>
      </c>
      <c r="K10" s="99">
        <f>INDEX(Erfassung1!AC:AC,MATCH($A10,Erfassung1!$BN:$BN,0)-1)</f>
        <v>774</v>
      </c>
      <c r="L10" s="100">
        <f>INDEX(Erfassung1!AD:AD,MATCH($A10,Erfassung1!$BN:$BN,0))</f>
        <v>4</v>
      </c>
      <c r="M10" s="101">
        <f t="shared" si="0"/>
        <v>3545</v>
      </c>
      <c r="N10" s="102">
        <f t="shared" si="0"/>
        <v>12</v>
      </c>
      <c r="O10" s="76">
        <f>IFERROR(M10/INDEX(Erfassung1!BF:BF,MATCH(A10,Erfassung1!BN:BN,0)),0)</f>
        <v>177.25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  <c r="AE10" s="215">
        <f>SUMIF(Erfassung1!BQ:BQ,B10,Erfassung1!BF:BF)</f>
        <v>20</v>
      </c>
    </row>
    <row r="11" spans="1:31" ht="42" customHeight="1" thickBot="1" x14ac:dyDescent="0.25">
      <c r="A11" s="209">
        <v>5</v>
      </c>
      <c r="B11" s="121" t="str">
        <f>INDEX(Erfassung1!$S:$S,MATCH($A11,Erfassung1!$BN:$BN,0)-17)</f>
        <v>Kings Club Bayreuth Land 2</v>
      </c>
      <c r="C11" s="99">
        <f>INDEX(Erfassung1!U:U,MATCH($A11,Erfassung1!$BN:$BN,0)-1)</f>
        <v>652</v>
      </c>
      <c r="D11" s="100">
        <f>INDEX(Erfassung1!V:V,MATCH($A11,Erfassung1!$BN:$BN,0))</f>
        <v>1</v>
      </c>
      <c r="E11" s="99">
        <f>INDEX(Erfassung1!W:W,MATCH($A11,Erfassung1!$BN:$BN,0)-1)</f>
        <v>740</v>
      </c>
      <c r="F11" s="100">
        <f>INDEX(Erfassung1!X:X,MATCH($A11,Erfassung1!$BN:$BN,0))</f>
        <v>4</v>
      </c>
      <c r="G11" s="99">
        <f>INDEX(Erfassung1!Y:Y,MATCH($A11,Erfassung1!$BN:$BN,0)-1)</f>
        <v>633</v>
      </c>
      <c r="H11" s="100">
        <f>INDEX(Erfassung1!Z:Z,MATCH($A11,Erfassung1!$BN:$BN,0))</f>
        <v>1</v>
      </c>
      <c r="I11" s="99">
        <f>INDEX(Erfassung1!AA:AA,MATCH($A11,Erfassung1!$BN:$BN,0)-1)</f>
        <v>591</v>
      </c>
      <c r="J11" s="100">
        <f>INDEX(Erfassung1!AB:AB,MATCH($A11,Erfassung1!$BN:$BN,0))</f>
        <v>0</v>
      </c>
      <c r="K11" s="99">
        <f>INDEX(Erfassung1!AC:AC,MATCH($A11,Erfassung1!$BN:$BN,0)-1)</f>
        <v>632</v>
      </c>
      <c r="L11" s="100">
        <f>INDEX(Erfassung1!AD:AD,MATCH($A11,Erfassung1!$BN:$BN,0))</f>
        <v>2</v>
      </c>
      <c r="M11" s="101">
        <f t="shared" si="0"/>
        <v>3248</v>
      </c>
      <c r="N11" s="102">
        <f t="shared" si="0"/>
        <v>8</v>
      </c>
      <c r="O11" s="76">
        <f>IFERROR(M11/INDEX(Erfassung1!BF:BF,MATCH(A11,Erfassung1!BN:BN,0)),0)</f>
        <v>162.4</v>
      </c>
      <c r="P11" s="51"/>
      <c r="Q11" s="51"/>
      <c r="R11" s="51"/>
      <c r="S11" s="51"/>
      <c r="T11" s="51"/>
      <c r="U11" s="51"/>
      <c r="V11" s="51"/>
      <c r="W11" s="51"/>
      <c r="X11" s="51"/>
      <c r="Y11" s="51"/>
      <c r="AE11" s="215">
        <f>SUMIF(Erfassung1!BQ:BQ,B11,Erfassung1!BF:BF)</f>
        <v>20</v>
      </c>
    </row>
    <row r="12" spans="1:31" ht="42" customHeight="1" thickBot="1" x14ac:dyDescent="0.25">
      <c r="A12" s="209">
        <v>6</v>
      </c>
      <c r="B12" s="121" t="str">
        <f>INDEX(Erfassung1!$S:$S,MATCH($A12,Erfassung1!$BN:$BN,0)-17)</f>
        <v>Kings Club Bayreuth Land 3</v>
      </c>
      <c r="C12" s="99">
        <f>INDEX(Erfassung1!U:U,MATCH($A12,Erfassung1!$BN:$BN,0)-1)</f>
        <v>676</v>
      </c>
      <c r="D12" s="100">
        <f>INDEX(Erfassung1!V:V,MATCH($A12,Erfassung1!$BN:$BN,0))</f>
        <v>5</v>
      </c>
      <c r="E12" s="99">
        <f>INDEX(Erfassung1!W:W,MATCH($A12,Erfassung1!$BN:$BN,0)-1)</f>
        <v>654</v>
      </c>
      <c r="F12" s="100">
        <f>INDEX(Erfassung1!X:X,MATCH($A12,Erfassung1!$BN:$BN,0))</f>
        <v>0</v>
      </c>
      <c r="G12" s="99">
        <f>INDEX(Erfassung1!Y:Y,MATCH($A12,Erfassung1!$BN:$BN,0)-1)</f>
        <v>660</v>
      </c>
      <c r="H12" s="100">
        <f>INDEX(Erfassung1!Z:Z,MATCH($A12,Erfassung1!$BN:$BN,0))</f>
        <v>0.5</v>
      </c>
      <c r="I12" s="99">
        <f>INDEX(Erfassung1!AA:AA,MATCH($A12,Erfassung1!$BN:$BN,0)-1)</f>
        <v>619</v>
      </c>
      <c r="J12" s="100">
        <f>INDEX(Erfassung1!AB:AB,MATCH($A12,Erfassung1!$BN:$BN,0))</f>
        <v>0</v>
      </c>
      <c r="K12" s="99">
        <f>INDEX(Erfassung1!AC:AC,MATCH($A12,Erfassung1!$BN:$BN,0)-1)</f>
        <v>766</v>
      </c>
      <c r="L12" s="100">
        <f>INDEX(Erfassung1!AD:AD,MATCH($A12,Erfassung1!$BN:$BN,0))</f>
        <v>2</v>
      </c>
      <c r="M12" s="101">
        <f t="shared" si="0"/>
        <v>3375</v>
      </c>
      <c r="N12" s="102">
        <f t="shared" si="0"/>
        <v>7.5</v>
      </c>
      <c r="O12" s="76">
        <f>IFERROR(M12/INDEX(Erfassung1!BF:BF,MATCH(A12,Erfassung1!BN:BN,0)),0)</f>
        <v>168.75</v>
      </c>
      <c r="P12" s="51"/>
      <c r="Q12" s="51"/>
      <c r="R12" s="51"/>
      <c r="S12" s="51"/>
      <c r="T12" s="51"/>
      <c r="U12" s="51"/>
      <c r="V12" s="51"/>
      <c r="W12" s="51"/>
      <c r="X12" s="51"/>
      <c r="Y12" s="51"/>
      <c r="AE12" s="215">
        <f>SUMIF(Erfassung1!BQ:BQ,B12,Erfassung1!BF:BF)</f>
        <v>20</v>
      </c>
    </row>
    <row r="15" spans="1:31" ht="15.75" x14ac:dyDescent="0.25">
      <c r="B15" s="388" t="s">
        <v>1816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31" x14ac:dyDescent="0.2">
      <c r="C16" s="382"/>
      <c r="D16" s="382"/>
      <c r="E16" s="382"/>
      <c r="F16" s="382"/>
      <c r="G16" s="382"/>
      <c r="H16" s="382"/>
    </row>
    <row r="17" spans="2:15" x14ac:dyDescent="0.2">
      <c r="B17" s="106" t="s">
        <v>1817</v>
      </c>
      <c r="C17" t="str">
        <f>IFERROR(INDEX(Erfassung1!S:S,MATCH(1,Erfassung1!BR:BR,0)),"")</f>
        <v>Humbs, Martin</v>
      </c>
      <c r="H17" t="str">
        <f>INDEX(Erfassung1!BQ:BQ,MATCH(C17,Erfassung1!S:S,0))</f>
        <v>Castra Regina Regensburg 2</v>
      </c>
      <c r="N17" s="104">
        <f>IFERROR(ROUND(INDEX(Erfassung1!BP:BP,MATCH(1,Erfassung1!BR:BR,0)),0),"")</f>
        <v>299</v>
      </c>
    </row>
    <row r="18" spans="2:15" x14ac:dyDescent="0.2">
      <c r="B18" s="106"/>
      <c r="C18" t="str">
        <f>IF(N18="","",IFERROR(INDEX(Erfassung1!S:S,MATCH(2,Erfassung1!BR:BR,0)),""))</f>
        <v/>
      </c>
      <c r="H18" t="str">
        <f>IF(C18="","",INDEX(Erfassung1!BQ:BQ,MATCH(C18,Erfassung1!S:S,0)))</f>
        <v/>
      </c>
      <c r="N18" s="105" t="str">
        <f>IF(IFERROR(ROUND(INDEX(Erfassung1!BP:BP,MATCH(2,Erfassung1!BR:BR,0)),0),0)=0,"",IFERROR(ROUND(INDEX(Erfassung1!BP:BP,MATCH(2,Erfassung1!BR:BR,0)),0),0))</f>
        <v/>
      </c>
    </row>
    <row r="19" spans="2:15" x14ac:dyDescent="0.2">
      <c r="B19" s="106"/>
      <c r="C19" t="str">
        <f>IF(N19="","",IFERROR(INDEX(Erfassung1!S:S,MATCH(3,Erfassung1!BR:BR,0)),""))</f>
        <v/>
      </c>
      <c r="H19" t="str">
        <f>IF(C19="","",INDEX(Erfassung1!BQ:BQ,MATCH(C19,Erfassung1!S:S,0)))</f>
        <v/>
      </c>
      <c r="N19" s="105" t="str">
        <f>IF(IFERROR(ROUND(INDEX(Erfassung1!BP:BP,MATCH(3,Erfassung1!BR:BR,0)),0),0)=0,"",IFERROR(ROUND(INDEX(Erfassung1!BP:BP,MATCH(3,Erfassung1!BR:BR,0)),0),""))</f>
        <v/>
      </c>
    </row>
    <row r="20" spans="2:15" x14ac:dyDescent="0.2">
      <c r="B20" s="106" t="s">
        <v>1818</v>
      </c>
      <c r="C20" t="str">
        <f>IFERROR(INDEX(Erfassung1!S:S,MATCH(1,Erfassung1!BV:BV,0)),"")</f>
        <v>Humbs, Martin</v>
      </c>
      <c r="H20" t="str">
        <f>INDEX(Erfassung1!BQ:BQ,MATCH(C20,Erfassung1!S:S,0))</f>
        <v>Castra Regina Regensburg 2</v>
      </c>
      <c r="N20" s="387" t="str">
        <f>IFERROR(ROUND(INDEX(Erfassung1!BS:BS,MATCH(1,Erfassung1!BV:BV,0)),0),"")&amp;"  /  "&amp;ROUND(IFERROR(ROUND(INDEX(Erfassung1!BS:BS,MATCH(1,Erfassung1!BV:BV,0)),0),"")/5,2)</f>
        <v>1181  /  236,2</v>
      </c>
      <c r="O20" s="387"/>
    </row>
    <row r="21" spans="2:15" x14ac:dyDescent="0.2">
      <c r="C21" t="str">
        <f>IF(N21="","",IFERROR(INDEX(Erfassung1!S:S,MATCH(2,Erfassung1!BV:BV,0)),""))</f>
        <v/>
      </c>
      <c r="E21" s="6"/>
      <c r="H21" t="str">
        <f>IF(C21="","",INDEX(Erfassung1!BQ:BQ,MATCH(C21,Erfassung1!S:S,0)))</f>
        <v/>
      </c>
      <c r="N21" s="105" t="str">
        <f>IF(IFERROR(ROUND(INDEX(Erfassung1!BS:BS,MATCH(2,Erfassung1!BV:BV,0)),0),0)=0,"",IFERROR(ROUND(INDEX(Erfassung1!BS:BS,MATCH(2,Erfassung1!BV:BV,0)),0),0))</f>
        <v/>
      </c>
    </row>
    <row r="22" spans="2:15" x14ac:dyDescent="0.2">
      <c r="C22" t="str">
        <f>IF(N22="","",IFERROR(INDEX(Erfassung1!S:S,MATCH(3,Erfassung1!BV:BV,0)),""))</f>
        <v/>
      </c>
      <c r="E22" s="6"/>
      <c r="H22" t="str">
        <f>IF(C22="","",INDEX(Erfassung1!BQ:BQ,MATCH(C22,Erfassung1!S:S,0)))</f>
        <v/>
      </c>
      <c r="N22" s="105" t="str">
        <f>IF(IFERROR(ROUND(INDEX(Erfassung1!BS:BS,MATCH(3,Erfassung1!BV:BV,0)),0),0)=0,"",IFERROR(ROUND(INDEX(Erfassung1!BS:BS,MATCH(3,Erfassung1!BV:BV,0)),0),0))</f>
        <v/>
      </c>
    </row>
  </sheetData>
  <sheetProtection password="D19C" sheet="1" formatCells="0" formatColumns="0" formatRows="0"/>
  <mergeCells count="15">
    <mergeCell ref="N20:O20"/>
    <mergeCell ref="B15:O15"/>
    <mergeCell ref="K5:L5"/>
    <mergeCell ref="M5:N5"/>
    <mergeCell ref="O5:O6"/>
    <mergeCell ref="A1:O1"/>
    <mergeCell ref="A2:O2"/>
    <mergeCell ref="A3:O3"/>
    <mergeCell ref="A5:A6"/>
    <mergeCell ref="C16:H16"/>
    <mergeCell ref="B5:B6"/>
    <mergeCell ref="C5:D5"/>
    <mergeCell ref="E5:F5"/>
    <mergeCell ref="G5:H5"/>
    <mergeCell ref="I5:J5"/>
  </mergeCells>
  <conditionalFormatting sqref="C7:L12">
    <cfRule type="top10" dxfId="13" priority="2" stopIfTrue="1" rank="1"/>
  </conditionalFormatting>
  <conditionalFormatting sqref="M7:M12">
    <cfRule type="top10" dxfId="12" priority="1" stopIfTrue="1" rank="1"/>
  </conditionalFormatting>
  <printOptions horizontalCentered="1" verticalCentered="1"/>
  <pageMargins left="0" right="0" top="0" bottom="0" header="0" footer="0"/>
  <pageSetup paperSize="9" orientation="landscape" r:id="rId1"/>
  <headerFooter alignWithMargins="0"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309A5-E690-4F50-8C7C-66F23DBB0E02}">
  <sheetPr>
    <tabColor rgb="FF7030A0"/>
    <pageSetUpPr fitToPage="1"/>
  </sheetPr>
  <dimension ref="A1:P104"/>
  <sheetViews>
    <sheetView view="pageBreakPreview" zoomScaleNormal="100" zoomScaleSheetLayoutView="100" workbookViewId="0">
      <selection activeCell="D85" sqref="D85:M85"/>
    </sheetView>
  </sheetViews>
  <sheetFormatPr baseColWidth="10" defaultRowHeight="12.75" x14ac:dyDescent="0.2"/>
  <cols>
    <col min="1" max="1" width="5.28515625" style="108" customWidth="1"/>
    <col min="2" max="2" width="8.28515625" style="108" customWidth="1"/>
    <col min="3" max="4" width="27.7109375" style="108" customWidth="1"/>
    <col min="5" max="5" width="7.7109375" style="117" customWidth="1"/>
    <col min="6" max="6" width="7.7109375" style="108" customWidth="1"/>
    <col min="7" max="7" width="7.7109375" style="112" customWidth="1"/>
    <col min="8" max="9" width="11.42578125" style="108"/>
    <col min="10" max="11" width="11.42578125" style="108" customWidth="1"/>
    <col min="12" max="16" width="11.42578125" style="108" hidden="1" customWidth="1"/>
    <col min="17" max="20" width="11.42578125" style="108" customWidth="1"/>
    <col min="21" max="16384" width="11.42578125" style="108"/>
  </cols>
  <sheetData>
    <row r="1" spans="1:16" ht="28.5" customHeight="1" x14ac:dyDescent="0.4">
      <c r="A1" s="107" t="s">
        <v>1785</v>
      </c>
      <c r="C1" s="109" t="str">
        <f>Schlüssel!$C$1</f>
        <v>Bezirksliga N1 Männer</v>
      </c>
      <c r="D1" s="110"/>
      <c r="E1" s="111"/>
      <c r="F1" s="110"/>
      <c r="L1" s="108" t="s">
        <v>1814</v>
      </c>
      <c r="M1" s="108" t="s">
        <v>1799</v>
      </c>
      <c r="N1" s="108" t="s">
        <v>1819</v>
      </c>
      <c r="O1" s="108" t="s">
        <v>1805</v>
      </c>
      <c r="P1" s="108" t="s">
        <v>1820</v>
      </c>
    </row>
    <row r="2" spans="1:16" ht="28.5" customHeight="1" x14ac:dyDescent="0.3">
      <c r="A2" s="113" t="s">
        <v>1784</v>
      </c>
      <c r="C2" s="114">
        <v>1</v>
      </c>
      <c r="D2" s="114" t="s">
        <v>1821</v>
      </c>
      <c r="E2" s="115"/>
      <c r="F2" s="116"/>
      <c r="L2" s="108">
        <f>INDEX(Starter!A:A,ROW()-1)</f>
        <v>7136</v>
      </c>
      <c r="M2" s="108">
        <f>SUMIF(Erfassung1!BD:BD,L2,Erfassung1!BS:BS)</f>
        <v>911</v>
      </c>
      <c r="N2" s="108">
        <f>SUMIF(Erfassung1!BD:BD,L2,Erfassung1!BG:BG)</f>
        <v>5</v>
      </c>
      <c r="O2" s="108">
        <f t="shared" ref="O2:O65" si="0">IF(N2=0,0,M2/N2-ROW()/1000000000)</f>
        <v>182.19999999799998</v>
      </c>
      <c r="P2" s="108">
        <f t="shared" ref="P2:P65" si="1">RANK(O2,O:O)</f>
        <v>8</v>
      </c>
    </row>
    <row r="3" spans="1:16" x14ac:dyDescent="0.2">
      <c r="L3" s="108">
        <f>INDEX(Starter!A:A,ROW()-1)</f>
        <v>7123</v>
      </c>
      <c r="M3" s="108">
        <f>SUMIF(Erfassung1!BD:BD,L3,Erfassung1!BS:BS)</f>
        <v>688</v>
      </c>
      <c r="N3" s="108">
        <f>SUMIF(Erfassung1!BD:BD,L3,Erfassung1!BG:BG)</f>
        <v>5</v>
      </c>
      <c r="O3" s="108">
        <f t="shared" si="0"/>
        <v>137.599999997</v>
      </c>
      <c r="P3" s="108">
        <f t="shared" si="1"/>
        <v>26</v>
      </c>
    </row>
    <row r="4" spans="1:16" x14ac:dyDescent="0.2">
      <c r="A4" s="118" t="s">
        <v>1822</v>
      </c>
      <c r="B4" s="118" t="s">
        <v>1814</v>
      </c>
      <c r="C4" s="108" t="s">
        <v>1797</v>
      </c>
      <c r="D4" s="108" t="s">
        <v>1823</v>
      </c>
      <c r="E4" s="119" t="s">
        <v>1799</v>
      </c>
      <c r="F4" s="118" t="s">
        <v>1819</v>
      </c>
      <c r="G4" s="120" t="s">
        <v>1805</v>
      </c>
      <c r="L4" s="108">
        <f>INDEX(Starter!A:A,ROW()-1)</f>
        <v>25479</v>
      </c>
      <c r="M4" s="108">
        <f>SUMIF(Erfassung1!BD:BD,L4,Erfassung1!BS:BS)</f>
        <v>769</v>
      </c>
      <c r="N4" s="108">
        <f>SUMIF(Erfassung1!BD:BD,L4,Erfassung1!BG:BG)</f>
        <v>5</v>
      </c>
      <c r="O4" s="108">
        <f t="shared" si="0"/>
        <v>153.79999999600003</v>
      </c>
      <c r="P4" s="108">
        <f t="shared" si="1"/>
        <v>23</v>
      </c>
    </row>
    <row r="5" spans="1:16" x14ac:dyDescent="0.2">
      <c r="A5" s="108">
        <v>1</v>
      </c>
      <c r="B5" s="108">
        <f t="shared" ref="B5:B68" si="2">IFERROR(INDEX(L:L,MATCH(A5,P:P,0)),"")</f>
        <v>38046</v>
      </c>
      <c r="C5" s="108" t="str">
        <f>IFERROR(INDEX(Starter!B:B,MATCH(B5,Starter!A:A,0)),"")</f>
        <v>Humbs, Martin</v>
      </c>
      <c r="D5" s="108" t="str">
        <f>IFERROR(INDEX(Starter!C:C,MATCH(B5,Starter!A:A,0)),"")</f>
        <v>BC Castra Regina Regensburg</v>
      </c>
      <c r="E5" s="117">
        <f t="shared" ref="E5:E68" si="3">IFERROR(INDEX(M:M,MATCH(A5,P:P,0)),"")</f>
        <v>1181</v>
      </c>
      <c r="F5" s="108">
        <f t="shared" ref="F5:F68" si="4">IFERROR(INDEX(N:N,MATCH(A5,P:P,0)),"")</f>
        <v>5</v>
      </c>
      <c r="G5" s="112">
        <f t="shared" ref="G5:G68" si="5">IFERROR(INDEX(O:O,MATCH(A5,P:P,0)),"")</f>
        <v>236.19999997799999</v>
      </c>
      <c r="L5" s="108">
        <f>INDEX(Starter!A:A,ROW()-1)</f>
        <v>7128</v>
      </c>
      <c r="M5" s="108">
        <f>SUMIF(Erfassung1!BD:BD,L5,Erfassung1!BS:BS)</f>
        <v>880</v>
      </c>
      <c r="N5" s="108">
        <f>SUMIF(Erfassung1!BD:BD,L5,Erfassung1!BG:BG)</f>
        <v>5</v>
      </c>
      <c r="O5" s="108">
        <f t="shared" si="0"/>
        <v>175.999999995</v>
      </c>
      <c r="P5" s="108">
        <f t="shared" si="1"/>
        <v>11</v>
      </c>
    </row>
    <row r="6" spans="1:16" x14ac:dyDescent="0.2">
      <c r="A6" s="108">
        <f t="shared" ref="A6:A69" si="6">IFERROR(IF(A5+1&gt;MAX(P:P)-1,"",A5+1),"")</f>
        <v>2</v>
      </c>
      <c r="B6" s="108">
        <f t="shared" si="2"/>
        <v>7586</v>
      </c>
      <c r="C6" s="108" t="str">
        <f>IFERROR(INDEX(Starter!B:B,MATCH(B6,Starter!A:A,0)),"")</f>
        <v>Eichner, Karl</v>
      </c>
      <c r="D6" s="108" t="str">
        <f>IFERROR(INDEX(Starter!C:C,MATCH(B6,Starter!A:A,0)),"")</f>
        <v>Kings Club Bayreuth</v>
      </c>
      <c r="E6" s="117">
        <f t="shared" si="3"/>
        <v>1004</v>
      </c>
      <c r="F6" s="108">
        <f t="shared" si="4"/>
        <v>5</v>
      </c>
      <c r="G6" s="112">
        <f t="shared" si="5"/>
        <v>200.79999999200001</v>
      </c>
      <c r="L6" s="108">
        <f>INDEX(Starter!A:A,ROW()-1)</f>
        <v>38507</v>
      </c>
      <c r="M6" s="108">
        <f>SUMIF(Erfassung1!BD:BD,L6,Erfassung1!BS:BS)</f>
        <v>444</v>
      </c>
      <c r="N6" s="108">
        <f>SUMIF(Erfassung1!BD:BD,L6,Erfassung1!BG:BG)</f>
        <v>3</v>
      </c>
      <c r="O6" s="108">
        <f t="shared" si="0"/>
        <v>147.99999999400001</v>
      </c>
      <c r="P6" s="108">
        <f t="shared" si="1"/>
        <v>24</v>
      </c>
    </row>
    <row r="7" spans="1:16" x14ac:dyDescent="0.2">
      <c r="A7" s="108">
        <f t="shared" si="6"/>
        <v>3</v>
      </c>
      <c r="B7" s="108">
        <f t="shared" si="2"/>
        <v>38571</v>
      </c>
      <c r="C7" s="108" t="str">
        <f>IFERROR(INDEX(Starter!B:B,MATCH(B7,Starter!A:A,0)),"")</f>
        <v>Simon, Steven</v>
      </c>
      <c r="D7" s="108" t="str">
        <f>IFERROR(INDEX(Starter!C:C,MATCH(B7,Starter!A:A,0)),"")</f>
        <v>BC Castra Regina Regensburg</v>
      </c>
      <c r="E7" s="117">
        <f t="shared" si="3"/>
        <v>976</v>
      </c>
      <c r="F7" s="108">
        <f t="shared" si="4"/>
        <v>5</v>
      </c>
      <c r="G7" s="112">
        <f t="shared" si="5"/>
        <v>195.19999997699998</v>
      </c>
      <c r="L7" s="108">
        <f>INDEX(Starter!A:A,ROW()-1)</f>
        <v>38115</v>
      </c>
      <c r="M7" s="108">
        <f>SUMIF(Erfassung1!BD:BD,L7,Erfassung1!BS:BS)</f>
        <v>0</v>
      </c>
      <c r="N7" s="108">
        <f>SUMIF(Erfassung1!BD:BD,L7,Erfassung1!BG:BG)</f>
        <v>0</v>
      </c>
      <c r="O7" s="108">
        <f t="shared" si="0"/>
        <v>0</v>
      </c>
      <c r="P7" s="108">
        <f t="shared" si="1"/>
        <v>27</v>
      </c>
    </row>
    <row r="8" spans="1:16" x14ac:dyDescent="0.2">
      <c r="A8" s="108">
        <f t="shared" si="6"/>
        <v>4</v>
      </c>
      <c r="B8" s="108">
        <f t="shared" si="2"/>
        <v>25130</v>
      </c>
      <c r="C8" s="108" t="str">
        <f>IFERROR(INDEX(Starter!B:B,MATCH(B8,Starter!A:A,0)),"")</f>
        <v>Aumeier, Bernhard</v>
      </c>
      <c r="D8" s="108" t="str">
        <f>IFERROR(INDEX(Starter!C:C,MATCH(B8,Starter!A:A,0)),"")</f>
        <v>BC Castra Regina Regensburg</v>
      </c>
      <c r="E8" s="117">
        <f t="shared" si="3"/>
        <v>967</v>
      </c>
      <c r="F8" s="108">
        <f t="shared" si="4"/>
        <v>5</v>
      </c>
      <c r="G8" s="112">
        <f t="shared" si="5"/>
        <v>193.399999971</v>
      </c>
      <c r="L8" s="108">
        <f>INDEX(Starter!A:A,ROW()-1)</f>
        <v>7586</v>
      </c>
      <c r="M8" s="108">
        <f>SUMIF(Erfassung1!BD:BD,L8,Erfassung1!BS:BS)</f>
        <v>1004</v>
      </c>
      <c r="N8" s="108">
        <f>SUMIF(Erfassung1!BD:BD,L8,Erfassung1!BG:BG)</f>
        <v>5</v>
      </c>
      <c r="O8" s="108">
        <f t="shared" si="0"/>
        <v>200.79999999200001</v>
      </c>
      <c r="P8" s="108">
        <f t="shared" si="1"/>
        <v>2</v>
      </c>
    </row>
    <row r="9" spans="1:16" x14ac:dyDescent="0.2">
      <c r="A9" s="108">
        <f t="shared" si="6"/>
        <v>5</v>
      </c>
      <c r="B9" s="108">
        <f t="shared" si="2"/>
        <v>7282</v>
      </c>
      <c r="C9" s="108" t="str">
        <f>IFERROR(INDEX(Starter!B:B,MATCH(B9,Starter!A:A,0)),"")</f>
        <v>Voss, Horst</v>
      </c>
      <c r="D9" s="108" t="str">
        <f>IFERROR(INDEX(Starter!C:C,MATCH(B9,Starter!A:A,0)),"")</f>
        <v>BC Herzogenaurach</v>
      </c>
      <c r="E9" s="117">
        <f t="shared" si="3"/>
        <v>934</v>
      </c>
      <c r="F9" s="108">
        <f t="shared" si="4"/>
        <v>5</v>
      </c>
      <c r="G9" s="112">
        <f t="shared" si="5"/>
        <v>186.799999982</v>
      </c>
      <c r="L9" s="108">
        <f>INDEX(Starter!A:A,ROW()-1)</f>
        <v>9936</v>
      </c>
      <c r="M9" s="108">
        <f>SUMIF(Erfassung1!BD:BD,L9,Erfassung1!BS:BS)</f>
        <v>0</v>
      </c>
      <c r="N9" s="108">
        <f>SUMIF(Erfassung1!BD:BD,L9,Erfassung1!BG:BG)</f>
        <v>0</v>
      </c>
      <c r="O9" s="108">
        <f t="shared" si="0"/>
        <v>0</v>
      </c>
      <c r="P9" s="108">
        <f t="shared" si="1"/>
        <v>27</v>
      </c>
    </row>
    <row r="10" spans="1:16" x14ac:dyDescent="0.2">
      <c r="A10" s="108">
        <f t="shared" si="6"/>
        <v>6</v>
      </c>
      <c r="B10" s="108">
        <f t="shared" si="2"/>
        <v>7814</v>
      </c>
      <c r="C10" s="108" t="str">
        <f>IFERROR(INDEX(Starter!B:B,MATCH(B10,Starter!A:A,0)),"")</f>
        <v>Kauscher, Bernhard</v>
      </c>
      <c r="D10" s="108" t="str">
        <f>IFERROR(INDEX(Starter!C:C,MATCH(B10,Starter!A:A,0)),"")</f>
        <v>BC Castra Regina Regensburg</v>
      </c>
      <c r="E10" s="117">
        <f t="shared" si="3"/>
        <v>932</v>
      </c>
      <c r="F10" s="108">
        <f t="shared" si="4"/>
        <v>5</v>
      </c>
      <c r="G10" s="112">
        <f t="shared" si="5"/>
        <v>186.399999974</v>
      </c>
      <c r="L10" s="108">
        <f>INDEX(Starter!A:A,ROW()-1)</f>
        <v>7135</v>
      </c>
      <c r="M10" s="108">
        <f>SUMIF(Erfassung1!BD:BD,L10,Erfassung1!BS:BS)</f>
        <v>0</v>
      </c>
      <c r="N10" s="108">
        <f>SUMIF(Erfassung1!BD:BD,L10,Erfassung1!BG:BG)</f>
        <v>0</v>
      </c>
      <c r="O10" s="108">
        <f t="shared" si="0"/>
        <v>0</v>
      </c>
      <c r="P10" s="108">
        <f t="shared" si="1"/>
        <v>27</v>
      </c>
    </row>
    <row r="11" spans="1:16" x14ac:dyDescent="0.2">
      <c r="A11" s="108">
        <f t="shared" si="6"/>
        <v>7</v>
      </c>
      <c r="B11" s="108">
        <f t="shared" si="2"/>
        <v>25895</v>
      </c>
      <c r="C11" s="108" t="str">
        <f>IFERROR(INDEX(Starter!B:B,MATCH(B11,Starter!A:A,0)),"")</f>
        <v>Gilch, Stefan</v>
      </c>
      <c r="D11" s="108" t="str">
        <f>IFERROR(INDEX(Starter!C:C,MATCH(B11,Starter!A:A,0)),"")</f>
        <v>BC Castra Regina Regensburg</v>
      </c>
      <c r="E11" s="117">
        <f t="shared" si="3"/>
        <v>932</v>
      </c>
      <c r="F11" s="108">
        <f t="shared" si="4"/>
        <v>5</v>
      </c>
      <c r="G11" s="112">
        <f t="shared" si="5"/>
        <v>186.39999996700001</v>
      </c>
      <c r="L11" s="108">
        <f>INDEX(Starter!A:A,ROW()-1)</f>
        <v>38367</v>
      </c>
      <c r="M11" s="108">
        <f>SUMIF(Erfassung1!BD:BD,L11,Erfassung1!BS:BS)</f>
        <v>0</v>
      </c>
      <c r="N11" s="108">
        <f>SUMIF(Erfassung1!BD:BD,L11,Erfassung1!BG:BG)</f>
        <v>0</v>
      </c>
      <c r="O11" s="108">
        <f t="shared" si="0"/>
        <v>0</v>
      </c>
      <c r="P11" s="108">
        <f t="shared" si="1"/>
        <v>27</v>
      </c>
    </row>
    <row r="12" spans="1:16" x14ac:dyDescent="0.2">
      <c r="A12" s="108">
        <f t="shared" si="6"/>
        <v>8</v>
      </c>
      <c r="B12" s="108">
        <f t="shared" si="2"/>
        <v>7136</v>
      </c>
      <c r="C12" s="108" t="str">
        <f>IFERROR(INDEX(Starter!B:B,MATCH(B12,Starter!A:A,0)),"")</f>
        <v>Rühr, Wilfried</v>
      </c>
      <c r="D12" s="108" t="str">
        <f>IFERROR(INDEX(Starter!C:C,MATCH(B12,Starter!A:A,0)),"")</f>
        <v>Kings Club Bayreuth</v>
      </c>
      <c r="E12" s="117">
        <f t="shared" si="3"/>
        <v>911</v>
      </c>
      <c r="F12" s="108">
        <f t="shared" si="4"/>
        <v>5</v>
      </c>
      <c r="G12" s="112">
        <f t="shared" si="5"/>
        <v>182.19999999799998</v>
      </c>
      <c r="L12" s="108">
        <f>INDEX(Starter!A:A,ROW()-1)</f>
        <v>38152</v>
      </c>
      <c r="M12" s="108">
        <f>SUMIF(Erfassung1!BD:BD,L12,Erfassung1!BS:BS)</f>
        <v>282</v>
      </c>
      <c r="N12" s="108">
        <f>SUMIF(Erfassung1!BD:BD,L12,Erfassung1!BG:BG)</f>
        <v>2</v>
      </c>
      <c r="O12" s="108">
        <f t="shared" si="0"/>
        <v>140.99999998800001</v>
      </c>
      <c r="P12" s="108">
        <f t="shared" si="1"/>
        <v>25</v>
      </c>
    </row>
    <row r="13" spans="1:16" x14ac:dyDescent="0.2">
      <c r="A13" s="108">
        <f t="shared" si="6"/>
        <v>9</v>
      </c>
      <c r="B13" s="108">
        <f t="shared" si="2"/>
        <v>25811</v>
      </c>
      <c r="C13" s="108" t="str">
        <f>IFERROR(INDEX(Starter!B:B,MATCH(B13,Starter!A:A,0)),"")</f>
        <v>Schmelzl, Werner</v>
      </c>
      <c r="D13" s="108" t="str">
        <f>IFERROR(INDEX(Starter!C:C,MATCH(B13,Starter!A:A,0)),"")</f>
        <v>BC Adler Nürnberg</v>
      </c>
      <c r="E13" s="117">
        <f t="shared" si="3"/>
        <v>911</v>
      </c>
      <c r="F13" s="108">
        <f t="shared" si="4"/>
        <v>5</v>
      </c>
      <c r="G13" s="112">
        <f t="shared" si="5"/>
        <v>182.19999995999999</v>
      </c>
      <c r="L13" s="108">
        <f>INDEX(Starter!A:A,ROW()-1)</f>
        <v>25007</v>
      </c>
      <c r="M13" s="108">
        <f>SUMIF(Erfassung1!BD:BD,L13,Erfassung1!BS:BS)</f>
        <v>0</v>
      </c>
      <c r="N13" s="108">
        <f>SUMIF(Erfassung1!BD:BD,L13,Erfassung1!BG:BG)</f>
        <v>0</v>
      </c>
      <c r="O13" s="108">
        <f t="shared" si="0"/>
        <v>0</v>
      </c>
      <c r="P13" s="108">
        <f t="shared" si="1"/>
        <v>27</v>
      </c>
    </row>
    <row r="14" spans="1:16" x14ac:dyDescent="0.2">
      <c r="A14" s="108">
        <f t="shared" si="6"/>
        <v>10</v>
      </c>
      <c r="B14" s="108">
        <f t="shared" si="2"/>
        <v>7286</v>
      </c>
      <c r="C14" s="108" t="str">
        <f>IFERROR(INDEX(Starter!B:B,MATCH(B14,Starter!A:A,0)),"")</f>
        <v>Meier, Peter</v>
      </c>
      <c r="D14" s="108" t="str">
        <f>IFERROR(INDEX(Starter!C:C,MATCH(B14,Starter!A:A,0)),"")</f>
        <v>BC Herzogenaurach</v>
      </c>
      <c r="E14" s="117">
        <f t="shared" si="3"/>
        <v>909</v>
      </c>
      <c r="F14" s="108">
        <f t="shared" si="4"/>
        <v>5</v>
      </c>
      <c r="G14" s="112">
        <f t="shared" si="5"/>
        <v>181.79999998000002</v>
      </c>
      <c r="L14" s="108">
        <f>INDEX(Starter!A:A,ROW()-1)</f>
        <v>38661</v>
      </c>
      <c r="M14" s="108">
        <f>SUMIF(Erfassung1!BD:BD,L14,Erfassung1!BS:BS)</f>
        <v>0</v>
      </c>
      <c r="N14" s="108">
        <f>SUMIF(Erfassung1!BD:BD,L14,Erfassung1!BG:BG)</f>
        <v>0</v>
      </c>
      <c r="O14" s="108">
        <f t="shared" si="0"/>
        <v>0</v>
      </c>
      <c r="P14" s="108">
        <f t="shared" si="1"/>
        <v>27</v>
      </c>
    </row>
    <row r="15" spans="1:16" x14ac:dyDescent="0.2">
      <c r="A15" s="108">
        <f t="shared" si="6"/>
        <v>11</v>
      </c>
      <c r="B15" s="108">
        <f t="shared" si="2"/>
        <v>7128</v>
      </c>
      <c r="C15" s="108" t="str">
        <f>IFERROR(INDEX(Starter!B:B,MATCH(B15,Starter!A:A,0)),"")</f>
        <v>Wallner, Harald</v>
      </c>
      <c r="D15" s="108" t="str">
        <f>IFERROR(INDEX(Starter!C:C,MATCH(B15,Starter!A:A,0)),"")</f>
        <v>Kings Club Bayreuth</v>
      </c>
      <c r="E15" s="117">
        <f t="shared" si="3"/>
        <v>880</v>
      </c>
      <c r="F15" s="108">
        <f t="shared" si="4"/>
        <v>5</v>
      </c>
      <c r="G15" s="112">
        <f t="shared" si="5"/>
        <v>175.999999995</v>
      </c>
      <c r="L15" s="108">
        <f>INDEX(Starter!A:A,ROW()-1)</f>
        <v>34393</v>
      </c>
      <c r="M15" s="108">
        <f>SUMIF(Erfassung1!BD:BD,L15,Erfassung1!BS:BS)</f>
        <v>0</v>
      </c>
      <c r="N15" s="108">
        <f>SUMIF(Erfassung1!BD:BD,L15,Erfassung1!BG:BG)</f>
        <v>0</v>
      </c>
      <c r="O15" s="108">
        <f t="shared" si="0"/>
        <v>0</v>
      </c>
      <c r="P15" s="108">
        <f t="shared" si="1"/>
        <v>27</v>
      </c>
    </row>
    <row r="16" spans="1:16" x14ac:dyDescent="0.2">
      <c r="A16" s="108">
        <f t="shared" si="6"/>
        <v>12</v>
      </c>
      <c r="B16" s="108">
        <f t="shared" si="2"/>
        <v>16707</v>
      </c>
      <c r="C16" s="108" t="str">
        <f>IFERROR(INDEX(Starter!B:B,MATCH(B16,Starter!A:A,0)),"")</f>
        <v>Beier, Thomas</v>
      </c>
      <c r="D16" s="108" t="str">
        <f>IFERROR(INDEX(Starter!C:C,MATCH(B16,Starter!A:A,0)),"")</f>
        <v>BC Adler Nürnberg</v>
      </c>
      <c r="E16" s="117">
        <f t="shared" si="3"/>
        <v>880</v>
      </c>
      <c r="F16" s="108">
        <f t="shared" si="4"/>
        <v>5</v>
      </c>
      <c r="G16" s="112">
        <f t="shared" si="5"/>
        <v>175.99999995799999</v>
      </c>
      <c r="L16" s="108">
        <f>INDEX(Starter!A:A,ROW()-1)</f>
        <v>38823</v>
      </c>
      <c r="M16" s="108">
        <f>SUMIF(Erfassung1!BD:BD,L16,Erfassung1!BS:BS)</f>
        <v>874</v>
      </c>
      <c r="N16" s="108">
        <f>SUMIF(Erfassung1!BD:BD,L16,Erfassung1!BG:BG)</f>
        <v>5</v>
      </c>
      <c r="O16" s="108">
        <f t="shared" si="0"/>
        <v>174.79999998400001</v>
      </c>
      <c r="P16" s="108">
        <f t="shared" si="1"/>
        <v>15</v>
      </c>
    </row>
    <row r="17" spans="1:16" x14ac:dyDescent="0.2">
      <c r="A17" s="108">
        <f t="shared" si="6"/>
        <v>13</v>
      </c>
      <c r="B17" s="108">
        <f t="shared" si="2"/>
        <v>7849</v>
      </c>
      <c r="C17" s="108" t="str">
        <f>IFERROR(INDEX(Starter!B:B,MATCH(B17,Starter!A:A,0)),"")</f>
        <v>Stibel, Blasius</v>
      </c>
      <c r="D17" s="108" t="str">
        <f>IFERROR(INDEX(Starter!C:C,MATCH(B17,Starter!A:A,0)),"")</f>
        <v>BC Castra Regina Regensburg</v>
      </c>
      <c r="E17" s="117">
        <f t="shared" si="3"/>
        <v>879</v>
      </c>
      <c r="F17" s="108">
        <f t="shared" si="4"/>
        <v>5</v>
      </c>
      <c r="G17" s="112">
        <f t="shared" si="5"/>
        <v>175.799999969</v>
      </c>
      <c r="L17" s="108">
        <f>INDEX(Starter!A:A,ROW()-1)</f>
        <v>38509</v>
      </c>
      <c r="M17" s="108">
        <f>SUMIF(Erfassung1!BD:BD,L17,Erfassung1!BS:BS)</f>
        <v>771</v>
      </c>
      <c r="N17" s="108">
        <f>SUMIF(Erfassung1!BD:BD,L17,Erfassung1!BG:BG)</f>
        <v>5</v>
      </c>
      <c r="O17" s="108">
        <f t="shared" si="0"/>
        <v>154.199999983</v>
      </c>
      <c r="P17" s="108">
        <f t="shared" si="1"/>
        <v>22</v>
      </c>
    </row>
    <row r="18" spans="1:16" x14ac:dyDescent="0.2">
      <c r="A18" s="108">
        <f t="shared" si="6"/>
        <v>14</v>
      </c>
      <c r="B18" s="108">
        <f t="shared" si="2"/>
        <v>25760</v>
      </c>
      <c r="C18" s="108" t="str">
        <f>IFERROR(INDEX(Starter!B:B,MATCH(B18,Starter!A:A,0)),"")</f>
        <v>Inkermann, Matthias</v>
      </c>
      <c r="D18" s="108" t="str">
        <f>IFERROR(INDEX(Starter!C:C,MATCH(B18,Starter!A:A,0)),"")</f>
        <v>BC Herzogenaurach</v>
      </c>
      <c r="E18" s="117">
        <f t="shared" si="3"/>
        <v>879</v>
      </c>
      <c r="F18" s="108">
        <f t="shared" si="4"/>
        <v>5</v>
      </c>
      <c r="G18" s="112">
        <f t="shared" si="5"/>
        <v>175.79999995700001</v>
      </c>
      <c r="L18" s="108">
        <f>INDEX(Starter!A:A,ROW()-1)</f>
        <v>7282</v>
      </c>
      <c r="M18" s="108">
        <f>SUMIF(Erfassung1!BD:BD,L18,Erfassung1!BS:BS)</f>
        <v>934</v>
      </c>
      <c r="N18" s="108">
        <f>SUMIF(Erfassung1!BD:BD,L18,Erfassung1!BG:BG)</f>
        <v>5</v>
      </c>
      <c r="O18" s="108">
        <f t="shared" si="0"/>
        <v>186.799999982</v>
      </c>
      <c r="P18" s="108">
        <f t="shared" si="1"/>
        <v>5</v>
      </c>
    </row>
    <row r="19" spans="1:16" x14ac:dyDescent="0.2">
      <c r="A19" s="108">
        <f t="shared" si="6"/>
        <v>15</v>
      </c>
      <c r="B19" s="108">
        <f t="shared" si="2"/>
        <v>38823</v>
      </c>
      <c r="C19" s="108" t="str">
        <f>IFERROR(INDEX(Starter!B:B,MATCH(B19,Starter!A:A,0)),"")</f>
        <v>Sommerer, Stefan</v>
      </c>
      <c r="D19" s="108" t="str">
        <f>IFERROR(INDEX(Starter!C:C,MATCH(B19,Starter!A:A,0)),"")</f>
        <v>Kings Club Bayreuth</v>
      </c>
      <c r="E19" s="117">
        <f t="shared" si="3"/>
        <v>874</v>
      </c>
      <c r="F19" s="108">
        <f t="shared" si="4"/>
        <v>5</v>
      </c>
      <c r="G19" s="112">
        <f t="shared" si="5"/>
        <v>174.79999998400001</v>
      </c>
      <c r="L19" s="108">
        <f>INDEX(Starter!A:A,ROW()-1)</f>
        <v>25378</v>
      </c>
      <c r="M19" s="108">
        <f>SUMIF(Erfassung1!BD:BD,L19,Erfassung1!BS:BS)</f>
        <v>491</v>
      </c>
      <c r="N19" s="108">
        <f>SUMIF(Erfassung1!BD:BD,L19,Erfassung1!BG:BG)</f>
        <v>3</v>
      </c>
      <c r="O19" s="108">
        <f t="shared" si="0"/>
        <v>163.66666664766666</v>
      </c>
      <c r="P19" s="108">
        <f t="shared" si="1"/>
        <v>19</v>
      </c>
    </row>
    <row r="20" spans="1:16" x14ac:dyDescent="0.2">
      <c r="A20" s="108">
        <f t="shared" si="6"/>
        <v>16</v>
      </c>
      <c r="B20" s="108">
        <f t="shared" si="2"/>
        <v>38870</v>
      </c>
      <c r="C20" s="108" t="str">
        <f>IFERROR(INDEX(Starter!B:B,MATCH(B20,Starter!A:A,0)),"")</f>
        <v>Martin, Dennis</v>
      </c>
      <c r="D20" s="108" t="str">
        <f>IFERROR(INDEX(Starter!C:C,MATCH(B20,Starter!A:A,0)),"")</f>
        <v>BC Castra Regina Regensburg</v>
      </c>
      <c r="E20" s="117">
        <f t="shared" si="3"/>
        <v>850</v>
      </c>
      <c r="F20" s="108">
        <f t="shared" si="4"/>
        <v>5</v>
      </c>
      <c r="G20" s="112">
        <f t="shared" si="5"/>
        <v>169.999999976</v>
      </c>
      <c r="L20" s="108">
        <f>INDEX(Starter!A:A,ROW()-1)</f>
        <v>7286</v>
      </c>
      <c r="M20" s="108">
        <f>SUMIF(Erfassung1!BD:BD,L20,Erfassung1!BS:BS)</f>
        <v>909</v>
      </c>
      <c r="N20" s="108">
        <f>SUMIF(Erfassung1!BD:BD,L20,Erfassung1!BG:BG)</f>
        <v>5</v>
      </c>
      <c r="O20" s="108">
        <f t="shared" si="0"/>
        <v>181.79999998000002</v>
      </c>
      <c r="P20" s="108">
        <f t="shared" si="1"/>
        <v>10</v>
      </c>
    </row>
    <row r="21" spans="1:16" x14ac:dyDescent="0.2">
      <c r="A21" s="108">
        <f t="shared" si="6"/>
        <v>17</v>
      </c>
      <c r="B21" s="108">
        <f t="shared" si="2"/>
        <v>25944</v>
      </c>
      <c r="C21" s="108" t="str">
        <f>IFERROR(INDEX(Starter!B:B,MATCH(B21,Starter!A:A,0)),"")</f>
        <v>Kohl, Oswald</v>
      </c>
      <c r="D21" s="108" t="str">
        <f>IFERROR(INDEX(Starter!C:C,MATCH(B21,Starter!A:A,0)),"")</f>
        <v>BC Adler Nürnberg</v>
      </c>
      <c r="E21" s="117">
        <f t="shared" si="3"/>
        <v>848</v>
      </c>
      <c r="F21" s="108">
        <f t="shared" si="4"/>
        <v>5</v>
      </c>
      <c r="G21" s="112">
        <f t="shared" si="5"/>
        <v>169.599999959</v>
      </c>
      <c r="L21" s="108">
        <f>INDEX(Starter!A:A,ROW()-1)</f>
        <v>7283</v>
      </c>
      <c r="M21" s="108">
        <f>SUMIF(Erfassung1!BD:BD,L21,Erfassung1!BS:BS)</f>
        <v>332</v>
      </c>
      <c r="N21" s="108">
        <f>SUMIF(Erfassung1!BD:BD,L21,Erfassung1!BG:BG)</f>
        <v>2</v>
      </c>
      <c r="O21" s="108">
        <f t="shared" si="0"/>
        <v>165.99999997899999</v>
      </c>
      <c r="P21" s="108">
        <f t="shared" si="1"/>
        <v>18</v>
      </c>
    </row>
    <row r="22" spans="1:16" x14ac:dyDescent="0.2">
      <c r="A22" s="108">
        <f t="shared" si="6"/>
        <v>18</v>
      </c>
      <c r="B22" s="108">
        <f t="shared" si="2"/>
        <v>7283</v>
      </c>
      <c r="C22" s="108" t="str">
        <f>IFERROR(INDEX(Starter!B:B,MATCH(B22,Starter!A:A,0)),"")</f>
        <v>Pichl, Jürgen</v>
      </c>
      <c r="D22" s="108" t="str">
        <f>IFERROR(INDEX(Starter!C:C,MATCH(B22,Starter!A:A,0)),"")</f>
        <v>BC Herzogenaurach</v>
      </c>
      <c r="E22" s="117">
        <f t="shared" si="3"/>
        <v>332</v>
      </c>
      <c r="F22" s="108">
        <f t="shared" si="4"/>
        <v>2</v>
      </c>
      <c r="G22" s="112">
        <f t="shared" si="5"/>
        <v>165.99999997899999</v>
      </c>
      <c r="L22" s="108">
        <f>INDEX(Starter!A:A,ROW()-1)</f>
        <v>38046</v>
      </c>
      <c r="M22" s="108">
        <f>SUMIF(Erfassung1!BD:BD,L22,Erfassung1!BS:BS)</f>
        <v>1181</v>
      </c>
      <c r="N22" s="108">
        <f>SUMIF(Erfassung1!BD:BD,L22,Erfassung1!BG:BG)</f>
        <v>5</v>
      </c>
      <c r="O22" s="108">
        <f t="shared" si="0"/>
        <v>236.19999997799999</v>
      </c>
      <c r="P22" s="108">
        <f t="shared" si="1"/>
        <v>1</v>
      </c>
    </row>
    <row r="23" spans="1:16" x14ac:dyDescent="0.2">
      <c r="A23" s="108">
        <f t="shared" si="6"/>
        <v>19</v>
      </c>
      <c r="B23" s="108">
        <f t="shared" si="2"/>
        <v>25378</v>
      </c>
      <c r="C23" s="108" t="str">
        <f>IFERROR(INDEX(Starter!B:B,MATCH(B23,Starter!A:A,0)),"")</f>
        <v>Arnold, Nadine</v>
      </c>
      <c r="D23" s="108" t="str">
        <f>IFERROR(INDEX(Starter!C:C,MATCH(B23,Starter!A:A,0)),"")</f>
        <v>BC Herzogenaurach</v>
      </c>
      <c r="E23" s="117">
        <f t="shared" si="3"/>
        <v>491</v>
      </c>
      <c r="F23" s="108">
        <f t="shared" si="4"/>
        <v>3</v>
      </c>
      <c r="G23" s="112">
        <f t="shared" si="5"/>
        <v>163.66666664766666</v>
      </c>
      <c r="L23" s="108">
        <f>INDEX(Starter!A:A,ROW()-1)</f>
        <v>38571</v>
      </c>
      <c r="M23" s="108">
        <f>SUMIF(Erfassung1!BD:BD,L23,Erfassung1!BS:BS)</f>
        <v>976</v>
      </c>
      <c r="N23" s="108">
        <f>SUMIF(Erfassung1!BD:BD,L23,Erfassung1!BG:BG)</f>
        <v>5</v>
      </c>
      <c r="O23" s="108">
        <f t="shared" si="0"/>
        <v>195.19999997699998</v>
      </c>
      <c r="P23" s="108">
        <f t="shared" si="1"/>
        <v>3</v>
      </c>
    </row>
    <row r="24" spans="1:16" x14ac:dyDescent="0.2">
      <c r="A24" s="108">
        <f t="shared" si="6"/>
        <v>20</v>
      </c>
      <c r="B24" s="108">
        <f t="shared" si="2"/>
        <v>7761</v>
      </c>
      <c r="C24" s="108" t="str">
        <f>IFERROR(INDEX(Starter!B:B,MATCH(B24,Starter!A:A,0)),"")</f>
        <v>Schmitt, Peter</v>
      </c>
      <c r="D24" s="108" t="str">
        <f>IFERROR(INDEX(Starter!C:C,MATCH(B24,Starter!A:A,0)),"")</f>
        <v>BC Adler Nürnberg</v>
      </c>
      <c r="E24" s="117">
        <f t="shared" si="3"/>
        <v>815</v>
      </c>
      <c r="F24" s="108">
        <f t="shared" si="4"/>
        <v>5</v>
      </c>
      <c r="G24" s="112">
        <f t="shared" si="5"/>
        <v>162.999999962</v>
      </c>
      <c r="L24" s="108">
        <f>INDEX(Starter!A:A,ROW()-1)</f>
        <v>38870</v>
      </c>
      <c r="M24" s="108">
        <f>SUMIF(Erfassung1!BD:BD,L24,Erfassung1!BS:BS)</f>
        <v>850</v>
      </c>
      <c r="N24" s="108">
        <f>SUMIF(Erfassung1!BD:BD,L24,Erfassung1!BG:BG)</f>
        <v>5</v>
      </c>
      <c r="O24" s="108">
        <f t="shared" si="0"/>
        <v>169.999999976</v>
      </c>
      <c r="P24" s="108">
        <f t="shared" si="1"/>
        <v>16</v>
      </c>
    </row>
    <row r="25" spans="1:16" x14ac:dyDescent="0.2">
      <c r="A25" s="108">
        <f t="shared" si="6"/>
        <v>21</v>
      </c>
      <c r="B25" s="108">
        <f t="shared" si="2"/>
        <v>38869</v>
      </c>
      <c r="C25" s="108" t="str">
        <f>IFERROR(INDEX(Starter!B:B,MATCH(B25,Starter!A:A,0)),"")</f>
        <v>Simon, Diana</v>
      </c>
      <c r="D25" s="108" t="str">
        <f>IFERROR(INDEX(Starter!C:C,MATCH(B25,Starter!A:A,0)),"")</f>
        <v>BC Castra Regina Regensburg</v>
      </c>
      <c r="E25" s="117">
        <f t="shared" si="3"/>
        <v>773</v>
      </c>
      <c r="F25" s="108">
        <f t="shared" si="4"/>
        <v>5</v>
      </c>
      <c r="G25" s="112">
        <f t="shared" si="5"/>
        <v>154.59999996799999</v>
      </c>
      <c r="L25" s="108">
        <f>INDEX(Starter!A:A,ROW()-1)</f>
        <v>7809</v>
      </c>
      <c r="M25" s="108">
        <f>SUMIF(Erfassung1!BD:BD,L25,Erfassung1!BS:BS)</f>
        <v>0</v>
      </c>
      <c r="N25" s="108">
        <f>SUMIF(Erfassung1!BD:BD,L25,Erfassung1!BG:BG)</f>
        <v>0</v>
      </c>
      <c r="O25" s="108">
        <f t="shared" si="0"/>
        <v>0</v>
      </c>
      <c r="P25" s="108">
        <f t="shared" si="1"/>
        <v>27</v>
      </c>
    </row>
    <row r="26" spans="1:16" x14ac:dyDescent="0.2">
      <c r="A26" s="108">
        <f t="shared" si="6"/>
        <v>22</v>
      </c>
      <c r="B26" s="108">
        <f t="shared" si="2"/>
        <v>38509</v>
      </c>
      <c r="C26" s="108" t="str">
        <f>IFERROR(INDEX(Starter!B:B,MATCH(B26,Starter!A:A,0)),"")</f>
        <v>Zahiri, Ali</v>
      </c>
      <c r="D26" s="108" t="str">
        <f>IFERROR(INDEX(Starter!C:C,MATCH(B26,Starter!A:A,0)),"")</f>
        <v>Kings Club Bayreuth</v>
      </c>
      <c r="E26" s="117">
        <f t="shared" si="3"/>
        <v>771</v>
      </c>
      <c r="F26" s="108">
        <f t="shared" si="4"/>
        <v>5</v>
      </c>
      <c r="G26" s="112">
        <f t="shared" si="5"/>
        <v>154.199999983</v>
      </c>
      <c r="L26" s="108">
        <f>INDEX(Starter!A:A,ROW()-1)</f>
        <v>7814</v>
      </c>
      <c r="M26" s="108">
        <f>SUMIF(Erfassung1!BD:BD,L26,Erfassung1!BS:BS)</f>
        <v>932</v>
      </c>
      <c r="N26" s="108">
        <f>SUMIF(Erfassung1!BD:BD,L26,Erfassung1!BG:BG)</f>
        <v>5</v>
      </c>
      <c r="O26" s="108">
        <f t="shared" si="0"/>
        <v>186.399999974</v>
      </c>
      <c r="P26" s="108">
        <f t="shared" si="1"/>
        <v>6</v>
      </c>
    </row>
    <row r="27" spans="1:16" x14ac:dyDescent="0.2">
      <c r="A27" s="108">
        <f t="shared" si="6"/>
        <v>23</v>
      </c>
      <c r="B27" s="108">
        <f t="shared" si="2"/>
        <v>25479</v>
      </c>
      <c r="C27" s="108" t="str">
        <f>IFERROR(INDEX(Starter!B:B,MATCH(B27,Starter!A:A,0)),"")</f>
        <v>Theisen, Alexander</v>
      </c>
      <c r="D27" s="108" t="str">
        <f>IFERROR(INDEX(Starter!C:C,MATCH(B27,Starter!A:A,0)),"")</f>
        <v>Kings Club Bayreuth</v>
      </c>
      <c r="E27" s="117">
        <f t="shared" si="3"/>
        <v>769</v>
      </c>
      <c r="F27" s="108">
        <f t="shared" si="4"/>
        <v>5</v>
      </c>
      <c r="G27" s="112">
        <f t="shared" si="5"/>
        <v>153.79999999600003</v>
      </c>
      <c r="L27" s="108">
        <f>INDEX(Starter!A:A,ROW()-1)</f>
        <v>7813</v>
      </c>
      <c r="M27" s="108">
        <f>SUMIF(Erfassung1!BD:BD,L27,Erfassung1!BS:BS)</f>
        <v>0</v>
      </c>
      <c r="N27" s="108">
        <f>SUMIF(Erfassung1!BD:BD,L27,Erfassung1!BG:BG)</f>
        <v>0</v>
      </c>
      <c r="O27" s="108">
        <f t="shared" si="0"/>
        <v>0</v>
      </c>
      <c r="P27" s="108">
        <f t="shared" si="1"/>
        <v>27</v>
      </c>
    </row>
    <row r="28" spans="1:16" x14ac:dyDescent="0.2">
      <c r="A28" s="108">
        <f t="shared" si="6"/>
        <v>24</v>
      </c>
      <c r="B28" s="108">
        <f t="shared" si="2"/>
        <v>38507</v>
      </c>
      <c r="C28" s="108" t="str">
        <f>IFERROR(INDEX(Starter!B:B,MATCH(B28,Starter!A:A,0)),"")</f>
        <v>Piehl, Fred</v>
      </c>
      <c r="D28" s="108" t="str">
        <f>IFERROR(INDEX(Starter!C:C,MATCH(B28,Starter!A:A,0)),"")</f>
        <v>Kings Club Bayreuth</v>
      </c>
      <c r="E28" s="117">
        <f t="shared" si="3"/>
        <v>444</v>
      </c>
      <c r="F28" s="108">
        <f t="shared" si="4"/>
        <v>3</v>
      </c>
      <c r="G28" s="112">
        <f t="shared" si="5"/>
        <v>147.99999999400001</v>
      </c>
      <c r="L28" s="108">
        <f>INDEX(Starter!A:A,ROW()-1)</f>
        <v>7730</v>
      </c>
      <c r="M28" s="108">
        <f>SUMIF(Erfassung1!BD:BD,L28,Erfassung1!BS:BS)</f>
        <v>0</v>
      </c>
      <c r="N28" s="108">
        <f>SUMIF(Erfassung1!BD:BD,L28,Erfassung1!BG:BG)</f>
        <v>0</v>
      </c>
      <c r="O28" s="108">
        <f t="shared" si="0"/>
        <v>0</v>
      </c>
      <c r="P28" s="108">
        <f t="shared" si="1"/>
        <v>27</v>
      </c>
    </row>
    <row r="29" spans="1:16" x14ac:dyDescent="0.2">
      <c r="A29" s="108">
        <f t="shared" si="6"/>
        <v>25</v>
      </c>
      <c r="B29" s="108">
        <f t="shared" si="2"/>
        <v>38152</v>
      </c>
      <c r="C29" s="108" t="str">
        <f>IFERROR(INDEX(Starter!B:B,MATCH(B29,Starter!A:A,0)),"")</f>
        <v>Hirsch, Edmund</v>
      </c>
      <c r="D29" s="108" t="str">
        <f>IFERROR(INDEX(Starter!C:C,MATCH(B29,Starter!A:A,0)),"")</f>
        <v>Kings Club Bayreuth</v>
      </c>
      <c r="E29" s="117">
        <f t="shared" si="3"/>
        <v>282</v>
      </c>
      <c r="F29" s="108">
        <f t="shared" si="4"/>
        <v>2</v>
      </c>
      <c r="G29" s="112">
        <f t="shared" si="5"/>
        <v>140.99999998800001</v>
      </c>
      <c r="L29" s="108">
        <f>INDEX(Starter!A:A,ROW()-1)</f>
        <v>25130</v>
      </c>
      <c r="M29" s="108">
        <f>SUMIF(Erfassung1!BD:BD,L29,Erfassung1!BS:BS)</f>
        <v>967</v>
      </c>
      <c r="N29" s="108">
        <f>SUMIF(Erfassung1!BD:BD,L29,Erfassung1!BG:BG)</f>
        <v>5</v>
      </c>
      <c r="O29" s="108">
        <f t="shared" si="0"/>
        <v>193.399999971</v>
      </c>
      <c r="P29" s="108">
        <f t="shared" si="1"/>
        <v>4</v>
      </c>
    </row>
    <row r="30" spans="1:16" x14ac:dyDescent="0.2">
      <c r="A30" s="108">
        <f t="shared" si="6"/>
        <v>26</v>
      </c>
      <c r="B30" s="108">
        <f t="shared" si="2"/>
        <v>7123</v>
      </c>
      <c r="C30" s="108" t="str">
        <f>IFERROR(INDEX(Starter!B:B,MATCH(B30,Starter!A:A,0)),"")</f>
        <v>Reichert, Roland</v>
      </c>
      <c r="D30" s="108" t="str">
        <f>IFERROR(INDEX(Starter!C:C,MATCH(B30,Starter!A:A,0)),"")</f>
        <v>Kings Club Bayreuth</v>
      </c>
      <c r="E30" s="117">
        <f t="shared" si="3"/>
        <v>688</v>
      </c>
      <c r="F30" s="108">
        <f t="shared" si="4"/>
        <v>5</v>
      </c>
      <c r="G30" s="112">
        <f t="shared" si="5"/>
        <v>137.599999997</v>
      </c>
      <c r="L30" s="108">
        <f>INDEX(Starter!A:A,ROW()-1)</f>
        <v>7854</v>
      </c>
      <c r="M30" s="108">
        <f>SUMIF(Erfassung1!BD:BD,L30,Erfassung1!BS:BS)</f>
        <v>0</v>
      </c>
      <c r="N30" s="108">
        <f>SUMIF(Erfassung1!BD:BD,L30,Erfassung1!BG:BG)</f>
        <v>0</v>
      </c>
      <c r="O30" s="108">
        <f t="shared" si="0"/>
        <v>0</v>
      </c>
      <c r="P30" s="108">
        <f t="shared" si="1"/>
        <v>27</v>
      </c>
    </row>
    <row r="31" spans="1:16" x14ac:dyDescent="0.2">
      <c r="A31" s="108" t="str">
        <f t="shared" si="6"/>
        <v/>
      </c>
      <c r="B31" s="108" t="str">
        <f t="shared" si="2"/>
        <v/>
      </c>
      <c r="C31" s="108" t="str">
        <f>IFERROR(INDEX(Starter!B:B,MATCH(B31,Starter!A:A,0)),"")</f>
        <v/>
      </c>
      <c r="D31" s="108" t="str">
        <f>IFERROR(INDEX(Starter!C:C,MATCH(B31,Starter!A:A,0)),"")</f>
        <v/>
      </c>
      <c r="E31" s="117" t="str">
        <f t="shared" si="3"/>
        <v/>
      </c>
      <c r="F31" s="108" t="str">
        <f t="shared" si="4"/>
        <v/>
      </c>
      <c r="G31" s="112" t="str">
        <f t="shared" si="5"/>
        <v/>
      </c>
      <c r="L31" s="108">
        <f>INDEX(Starter!A:A,ROW()-1)</f>
        <v>7849</v>
      </c>
      <c r="M31" s="108">
        <f>SUMIF(Erfassung1!BD:BD,L31,Erfassung1!BS:BS)</f>
        <v>879</v>
      </c>
      <c r="N31" s="108">
        <f>SUMIF(Erfassung1!BD:BD,L31,Erfassung1!BG:BG)</f>
        <v>5</v>
      </c>
      <c r="O31" s="108">
        <f t="shared" si="0"/>
        <v>175.799999969</v>
      </c>
      <c r="P31" s="108">
        <f t="shared" si="1"/>
        <v>13</v>
      </c>
    </row>
    <row r="32" spans="1:16" x14ac:dyDescent="0.2">
      <c r="A32" s="108" t="str">
        <f t="shared" si="6"/>
        <v/>
      </c>
      <c r="B32" s="108" t="str">
        <f t="shared" si="2"/>
        <v/>
      </c>
      <c r="C32" s="108" t="str">
        <f>IFERROR(INDEX(Starter!B:B,MATCH(B32,Starter!A:A,0)),"")</f>
        <v/>
      </c>
      <c r="D32" s="108" t="str">
        <f>IFERROR(INDEX(Starter!C:C,MATCH(B32,Starter!A:A,0)),"")</f>
        <v/>
      </c>
      <c r="E32" s="117" t="str">
        <f t="shared" si="3"/>
        <v/>
      </c>
      <c r="F32" s="108" t="str">
        <f t="shared" si="4"/>
        <v/>
      </c>
      <c r="G32" s="112" t="str">
        <f t="shared" si="5"/>
        <v/>
      </c>
      <c r="L32" s="108">
        <f>INDEX(Starter!A:A,ROW()-1)</f>
        <v>38869</v>
      </c>
      <c r="M32" s="108">
        <f>SUMIF(Erfassung1!BD:BD,L32,Erfassung1!BS:BS)</f>
        <v>773</v>
      </c>
      <c r="N32" s="108">
        <f>SUMIF(Erfassung1!BD:BD,L32,Erfassung1!BG:BG)</f>
        <v>5</v>
      </c>
      <c r="O32" s="108">
        <f t="shared" si="0"/>
        <v>154.59999996799999</v>
      </c>
      <c r="P32" s="108">
        <f t="shared" si="1"/>
        <v>21</v>
      </c>
    </row>
    <row r="33" spans="1:16" x14ac:dyDescent="0.2">
      <c r="A33" s="108" t="str">
        <f t="shared" si="6"/>
        <v/>
      </c>
      <c r="B33" s="108" t="str">
        <f t="shared" si="2"/>
        <v/>
      </c>
      <c r="C33" s="108" t="str">
        <f>IFERROR(INDEX(Starter!B:B,MATCH(B33,Starter!A:A,0)),"")</f>
        <v/>
      </c>
      <c r="D33" s="108" t="str">
        <f>IFERROR(INDEX(Starter!C:C,MATCH(B33,Starter!A:A,0)),"")</f>
        <v/>
      </c>
      <c r="E33" s="117" t="str">
        <f t="shared" si="3"/>
        <v/>
      </c>
      <c r="F33" s="108" t="str">
        <f t="shared" si="4"/>
        <v/>
      </c>
      <c r="G33" s="112" t="str">
        <f t="shared" si="5"/>
        <v/>
      </c>
      <c r="L33" s="108">
        <f>INDEX(Starter!A:A,ROW()-1)</f>
        <v>25895</v>
      </c>
      <c r="M33" s="108">
        <f>SUMIF(Erfassung1!BD:BD,L33,Erfassung1!BS:BS)</f>
        <v>932</v>
      </c>
      <c r="N33" s="108">
        <f>SUMIF(Erfassung1!BD:BD,L33,Erfassung1!BG:BG)</f>
        <v>5</v>
      </c>
      <c r="O33" s="108">
        <f t="shared" si="0"/>
        <v>186.39999996700001</v>
      </c>
      <c r="P33" s="108">
        <f t="shared" si="1"/>
        <v>7</v>
      </c>
    </row>
    <row r="34" spans="1:16" x14ac:dyDescent="0.2">
      <c r="A34" s="108" t="str">
        <f t="shared" si="6"/>
        <v/>
      </c>
      <c r="B34" s="108" t="str">
        <f t="shared" si="2"/>
        <v/>
      </c>
      <c r="C34" s="108" t="str">
        <f>IFERROR(INDEX(Starter!B:B,MATCH(B34,Starter!A:A,0)),"")</f>
        <v/>
      </c>
      <c r="D34" s="108" t="str">
        <f>IFERROR(INDEX(Starter!C:C,MATCH(B34,Starter!A:A,0)),"")</f>
        <v/>
      </c>
      <c r="E34" s="117" t="str">
        <f t="shared" si="3"/>
        <v/>
      </c>
      <c r="F34" s="108" t="str">
        <f t="shared" si="4"/>
        <v/>
      </c>
      <c r="G34" s="112" t="str">
        <f t="shared" si="5"/>
        <v/>
      </c>
      <c r="L34" s="108">
        <f>INDEX(Starter!A:A,ROW()-1)</f>
        <v>38260</v>
      </c>
      <c r="M34" s="108">
        <f>SUMIF(Erfassung1!BD:BD,L34,Erfassung1!BS:BS)</f>
        <v>0</v>
      </c>
      <c r="N34" s="108">
        <f>SUMIF(Erfassung1!BD:BD,L34,Erfassung1!BG:BG)</f>
        <v>0</v>
      </c>
      <c r="O34" s="108">
        <f t="shared" si="0"/>
        <v>0</v>
      </c>
      <c r="P34" s="108">
        <f t="shared" si="1"/>
        <v>27</v>
      </c>
    </row>
    <row r="35" spans="1:16" x14ac:dyDescent="0.2">
      <c r="A35" s="108" t="str">
        <f t="shared" si="6"/>
        <v/>
      </c>
      <c r="B35" s="108" t="str">
        <f t="shared" si="2"/>
        <v/>
      </c>
      <c r="C35" s="108" t="str">
        <f>IFERROR(INDEX(Starter!B:B,MATCH(B35,Starter!A:A,0)),"")</f>
        <v/>
      </c>
      <c r="D35" s="108" t="str">
        <f>IFERROR(INDEX(Starter!C:C,MATCH(B35,Starter!A:A,0)),"")</f>
        <v/>
      </c>
      <c r="E35" s="117" t="str">
        <f t="shared" si="3"/>
        <v/>
      </c>
      <c r="F35" s="108" t="str">
        <f t="shared" si="4"/>
        <v/>
      </c>
      <c r="G35" s="112" t="str">
        <f t="shared" si="5"/>
        <v/>
      </c>
      <c r="L35" s="108">
        <f>INDEX(Starter!A:A,ROW()-1)</f>
        <v>38570</v>
      </c>
      <c r="M35" s="108">
        <f>SUMIF(Erfassung1!BD:BD,L35,Erfassung1!BS:BS)</f>
        <v>0</v>
      </c>
      <c r="N35" s="108">
        <f>SUMIF(Erfassung1!BD:BD,L35,Erfassung1!BG:BG)</f>
        <v>0</v>
      </c>
      <c r="O35" s="108">
        <f t="shared" si="0"/>
        <v>0</v>
      </c>
      <c r="P35" s="108">
        <f t="shared" si="1"/>
        <v>27</v>
      </c>
    </row>
    <row r="36" spans="1:16" x14ac:dyDescent="0.2">
      <c r="A36" s="108" t="str">
        <f t="shared" si="6"/>
        <v/>
      </c>
      <c r="B36" s="108" t="str">
        <f t="shared" si="2"/>
        <v/>
      </c>
      <c r="C36" s="108" t="str">
        <f>IFERROR(INDEX(Starter!B:B,MATCH(B36,Starter!A:A,0)),"")</f>
        <v/>
      </c>
      <c r="D36" s="108" t="str">
        <f>IFERROR(INDEX(Starter!C:C,MATCH(B36,Starter!A:A,0)),"")</f>
        <v/>
      </c>
      <c r="E36" s="117" t="str">
        <f t="shared" si="3"/>
        <v/>
      </c>
      <c r="F36" s="108" t="str">
        <f t="shared" si="4"/>
        <v/>
      </c>
      <c r="G36" s="112" t="str">
        <f t="shared" si="5"/>
        <v/>
      </c>
      <c r="L36" s="108">
        <f>INDEX(Starter!A:A,ROW()-1)</f>
        <v>25723</v>
      </c>
      <c r="M36" s="108">
        <f>SUMIF(Erfassung1!BD:BD,L36,Erfassung1!BS:BS)</f>
        <v>0</v>
      </c>
      <c r="N36" s="108">
        <f>SUMIF(Erfassung1!BD:BD,L36,Erfassung1!BG:BG)</f>
        <v>0</v>
      </c>
      <c r="O36" s="108">
        <f t="shared" si="0"/>
        <v>0</v>
      </c>
      <c r="P36" s="108">
        <f t="shared" si="1"/>
        <v>27</v>
      </c>
    </row>
    <row r="37" spans="1:16" x14ac:dyDescent="0.2">
      <c r="A37" s="108" t="str">
        <f t="shared" si="6"/>
        <v/>
      </c>
      <c r="B37" s="108" t="str">
        <f t="shared" si="2"/>
        <v/>
      </c>
      <c r="C37" s="108" t="str">
        <f>IFERROR(INDEX(Starter!B:B,MATCH(B37,Starter!A:A,0)),"")</f>
        <v/>
      </c>
      <c r="D37" s="108" t="str">
        <f>IFERROR(INDEX(Starter!C:C,MATCH(B37,Starter!A:A,0)),"")</f>
        <v/>
      </c>
      <c r="E37" s="117" t="str">
        <f t="shared" si="3"/>
        <v/>
      </c>
      <c r="F37" s="108" t="str">
        <f t="shared" si="4"/>
        <v/>
      </c>
      <c r="G37" s="112" t="str">
        <f t="shared" si="5"/>
        <v/>
      </c>
      <c r="L37" s="108">
        <f>INDEX(Starter!A:A,ROW()-1)</f>
        <v>7816</v>
      </c>
      <c r="M37" s="108">
        <f>SUMIF(Erfassung1!BD:BD,L37,Erfassung1!BS:BS)</f>
        <v>0</v>
      </c>
      <c r="N37" s="108">
        <f>SUMIF(Erfassung1!BD:BD,L37,Erfassung1!BG:BG)</f>
        <v>0</v>
      </c>
      <c r="O37" s="108">
        <f t="shared" si="0"/>
        <v>0</v>
      </c>
      <c r="P37" s="108">
        <f t="shared" si="1"/>
        <v>27</v>
      </c>
    </row>
    <row r="38" spans="1:16" x14ac:dyDescent="0.2">
      <c r="A38" s="108" t="str">
        <f t="shared" si="6"/>
        <v/>
      </c>
      <c r="B38" s="108" t="str">
        <f t="shared" si="2"/>
        <v/>
      </c>
      <c r="C38" s="108" t="str">
        <f>IFERROR(INDEX(Starter!B:B,MATCH(B38,Starter!A:A,0)),"")</f>
        <v/>
      </c>
      <c r="D38" s="108" t="str">
        <f>IFERROR(INDEX(Starter!C:C,MATCH(B38,Starter!A:A,0)),"")</f>
        <v/>
      </c>
      <c r="E38" s="117" t="str">
        <f t="shared" si="3"/>
        <v/>
      </c>
      <c r="F38" s="108" t="str">
        <f t="shared" si="4"/>
        <v/>
      </c>
      <c r="G38" s="112" t="str">
        <f t="shared" si="5"/>
        <v/>
      </c>
      <c r="L38" s="108">
        <f>INDEX(Starter!A:A,ROW()-1)</f>
        <v>7761</v>
      </c>
      <c r="M38" s="108">
        <f>SUMIF(Erfassung1!BD:BD,L38,Erfassung1!BS:BS)</f>
        <v>815</v>
      </c>
      <c r="N38" s="108">
        <f>SUMIF(Erfassung1!BD:BD,L38,Erfassung1!BG:BG)</f>
        <v>5</v>
      </c>
      <c r="O38" s="108">
        <f t="shared" si="0"/>
        <v>162.999999962</v>
      </c>
      <c r="P38" s="108">
        <f t="shared" si="1"/>
        <v>20</v>
      </c>
    </row>
    <row r="39" spans="1:16" x14ac:dyDescent="0.2">
      <c r="A39" s="108" t="str">
        <f t="shared" si="6"/>
        <v/>
      </c>
      <c r="B39" s="108" t="str">
        <f t="shared" si="2"/>
        <v/>
      </c>
      <c r="C39" s="108" t="str">
        <f>IFERROR(INDEX(Starter!B:B,MATCH(B39,Starter!A:A,0)),"")</f>
        <v/>
      </c>
      <c r="D39" s="108" t="str">
        <f>IFERROR(INDEX(Starter!C:C,MATCH(B39,Starter!A:A,0)),"")</f>
        <v/>
      </c>
      <c r="E39" s="117" t="str">
        <f t="shared" si="3"/>
        <v/>
      </c>
      <c r="F39" s="108" t="str">
        <f t="shared" si="4"/>
        <v/>
      </c>
      <c r="G39" s="112" t="str">
        <f t="shared" si="5"/>
        <v/>
      </c>
      <c r="L39" s="108">
        <f>INDEX(Starter!A:A,ROW()-1)</f>
        <v>7714</v>
      </c>
      <c r="M39" s="108">
        <f>SUMIF(Erfassung1!BD:BD,L39,Erfassung1!BS:BS)</f>
        <v>0</v>
      </c>
      <c r="N39" s="108">
        <f>SUMIF(Erfassung1!BD:BD,L39,Erfassung1!BG:BG)</f>
        <v>0</v>
      </c>
      <c r="O39" s="108">
        <f t="shared" si="0"/>
        <v>0</v>
      </c>
      <c r="P39" s="108">
        <f t="shared" si="1"/>
        <v>27</v>
      </c>
    </row>
    <row r="40" spans="1:16" x14ac:dyDescent="0.2">
      <c r="A40" s="108" t="str">
        <f t="shared" si="6"/>
        <v/>
      </c>
      <c r="B40" s="108" t="str">
        <f t="shared" si="2"/>
        <v/>
      </c>
      <c r="C40" s="108" t="str">
        <f>IFERROR(INDEX(Starter!B:B,MATCH(B40,Starter!A:A,0)),"")</f>
        <v/>
      </c>
      <c r="D40" s="108" t="str">
        <f>IFERROR(INDEX(Starter!C:C,MATCH(B40,Starter!A:A,0)),"")</f>
        <v/>
      </c>
      <c r="E40" s="117" t="str">
        <f t="shared" si="3"/>
        <v/>
      </c>
      <c r="F40" s="108" t="str">
        <f t="shared" si="4"/>
        <v/>
      </c>
      <c r="G40" s="112" t="str">
        <f t="shared" si="5"/>
        <v/>
      </c>
      <c r="L40" s="108">
        <f>INDEX(Starter!A:A,ROW()-1)</f>
        <v>25811</v>
      </c>
      <c r="M40" s="108">
        <f>SUMIF(Erfassung1!BD:BD,L40,Erfassung1!BS:BS)</f>
        <v>911</v>
      </c>
      <c r="N40" s="108">
        <f>SUMIF(Erfassung1!BD:BD,L40,Erfassung1!BG:BG)</f>
        <v>5</v>
      </c>
      <c r="O40" s="108">
        <f t="shared" si="0"/>
        <v>182.19999995999999</v>
      </c>
      <c r="P40" s="108">
        <f t="shared" si="1"/>
        <v>9</v>
      </c>
    </row>
    <row r="41" spans="1:16" x14ac:dyDescent="0.2">
      <c r="A41" s="108" t="str">
        <f t="shared" si="6"/>
        <v/>
      </c>
      <c r="B41" s="108" t="str">
        <f t="shared" si="2"/>
        <v/>
      </c>
      <c r="C41" s="108" t="str">
        <f>IFERROR(INDEX(Starter!B:B,MATCH(B41,Starter!A:A,0)),"")</f>
        <v/>
      </c>
      <c r="D41" s="108" t="str">
        <f>IFERROR(INDEX(Starter!C:C,MATCH(B41,Starter!A:A,0)),"")</f>
        <v/>
      </c>
      <c r="E41" s="117" t="str">
        <f t="shared" si="3"/>
        <v/>
      </c>
      <c r="F41" s="108" t="str">
        <f t="shared" si="4"/>
        <v/>
      </c>
      <c r="G41" s="112" t="str">
        <f t="shared" si="5"/>
        <v/>
      </c>
      <c r="L41" s="108">
        <f>INDEX(Starter!A:A,ROW()-1)</f>
        <v>25944</v>
      </c>
      <c r="M41" s="108">
        <f>SUMIF(Erfassung1!BD:BD,L41,Erfassung1!BS:BS)</f>
        <v>848</v>
      </c>
      <c r="N41" s="108">
        <f>SUMIF(Erfassung1!BD:BD,L41,Erfassung1!BG:BG)</f>
        <v>5</v>
      </c>
      <c r="O41" s="108">
        <f t="shared" si="0"/>
        <v>169.599999959</v>
      </c>
      <c r="P41" s="108">
        <f t="shared" si="1"/>
        <v>17</v>
      </c>
    </row>
    <row r="42" spans="1:16" x14ac:dyDescent="0.2">
      <c r="A42" s="108" t="str">
        <f t="shared" si="6"/>
        <v/>
      </c>
      <c r="B42" s="108" t="str">
        <f t="shared" si="2"/>
        <v/>
      </c>
      <c r="C42" s="108" t="str">
        <f>IFERROR(INDEX(Starter!B:B,MATCH(B42,Starter!A:A,0)),"")</f>
        <v/>
      </c>
      <c r="D42" s="108" t="str">
        <f>IFERROR(INDEX(Starter!C:C,MATCH(B42,Starter!A:A,0)),"")</f>
        <v/>
      </c>
      <c r="E42" s="117" t="str">
        <f t="shared" si="3"/>
        <v/>
      </c>
      <c r="F42" s="108" t="str">
        <f t="shared" si="4"/>
        <v/>
      </c>
      <c r="G42" s="112" t="str">
        <f t="shared" si="5"/>
        <v/>
      </c>
      <c r="L42" s="108">
        <f>INDEX(Starter!A:A,ROW()-1)</f>
        <v>16707</v>
      </c>
      <c r="M42" s="108">
        <f>SUMIF(Erfassung1!BD:BD,L42,Erfassung1!BS:BS)</f>
        <v>880</v>
      </c>
      <c r="N42" s="108">
        <f>SUMIF(Erfassung1!BD:BD,L42,Erfassung1!BG:BG)</f>
        <v>5</v>
      </c>
      <c r="O42" s="108">
        <f t="shared" si="0"/>
        <v>175.99999995799999</v>
      </c>
      <c r="P42" s="108">
        <f t="shared" si="1"/>
        <v>12</v>
      </c>
    </row>
    <row r="43" spans="1:16" x14ac:dyDescent="0.2">
      <c r="A43" s="108" t="str">
        <f t="shared" si="6"/>
        <v/>
      </c>
      <c r="B43" s="108" t="str">
        <f t="shared" si="2"/>
        <v/>
      </c>
      <c r="C43" s="108" t="str">
        <f>IFERROR(INDEX(Starter!B:B,MATCH(B43,Starter!A:A,0)),"")</f>
        <v/>
      </c>
      <c r="D43" s="108" t="str">
        <f>IFERROR(INDEX(Starter!C:C,MATCH(B43,Starter!A:A,0)),"")</f>
        <v/>
      </c>
      <c r="E43" s="117" t="str">
        <f t="shared" si="3"/>
        <v/>
      </c>
      <c r="F43" s="108" t="str">
        <f t="shared" si="4"/>
        <v/>
      </c>
      <c r="G43" s="112" t="str">
        <f t="shared" si="5"/>
        <v/>
      </c>
      <c r="L43" s="108">
        <f>INDEX(Starter!A:A,ROW()-1)</f>
        <v>25760</v>
      </c>
      <c r="M43" s="108">
        <f>SUMIF(Erfassung1!BD:BD,L43,Erfassung1!BS:BS)</f>
        <v>879</v>
      </c>
      <c r="N43" s="108">
        <f>SUMIF(Erfassung1!BD:BD,L43,Erfassung1!BG:BG)</f>
        <v>5</v>
      </c>
      <c r="O43" s="108">
        <f t="shared" si="0"/>
        <v>175.79999995700001</v>
      </c>
      <c r="P43" s="108">
        <f t="shared" si="1"/>
        <v>14</v>
      </c>
    </row>
    <row r="44" spans="1:16" x14ac:dyDescent="0.2">
      <c r="A44" s="108" t="str">
        <f t="shared" si="6"/>
        <v/>
      </c>
      <c r="B44" s="108" t="str">
        <f t="shared" si="2"/>
        <v/>
      </c>
      <c r="C44" s="108" t="str">
        <f>IFERROR(INDEX(Starter!B:B,MATCH(B44,Starter!A:A,0)),"")</f>
        <v/>
      </c>
      <c r="D44" s="108" t="str">
        <f>IFERROR(INDEX(Starter!C:C,MATCH(B44,Starter!A:A,0)),"")</f>
        <v/>
      </c>
      <c r="E44" s="117" t="str">
        <f t="shared" si="3"/>
        <v/>
      </c>
      <c r="F44" s="108" t="str">
        <f t="shared" si="4"/>
        <v/>
      </c>
      <c r="G44" s="112" t="str">
        <f t="shared" si="5"/>
        <v/>
      </c>
      <c r="L44" s="108">
        <f>INDEX(Starter!A:A,ROW()-1)</f>
        <v>16897</v>
      </c>
      <c r="M44" s="108">
        <f>SUMIF(Erfassung1!BD:BD,L44,Erfassung1!BS:BS)</f>
        <v>0</v>
      </c>
      <c r="N44" s="108">
        <f>SUMIF(Erfassung1!BD:BD,L44,Erfassung1!BG:BG)</f>
        <v>0</v>
      </c>
      <c r="O44" s="108">
        <f t="shared" si="0"/>
        <v>0</v>
      </c>
      <c r="P44" s="108">
        <f t="shared" si="1"/>
        <v>27</v>
      </c>
    </row>
    <row r="45" spans="1:16" x14ac:dyDescent="0.2">
      <c r="A45" s="108" t="str">
        <f t="shared" si="6"/>
        <v/>
      </c>
      <c r="B45" s="108" t="str">
        <f t="shared" si="2"/>
        <v/>
      </c>
      <c r="C45" s="108" t="str">
        <f>IFERROR(INDEX(Starter!B:B,MATCH(B45,Starter!A:A,0)),"")</f>
        <v/>
      </c>
      <c r="D45" s="108" t="str">
        <f>IFERROR(INDEX(Starter!C:C,MATCH(B45,Starter!A:A,0)),"")</f>
        <v/>
      </c>
      <c r="E45" s="117" t="str">
        <f t="shared" si="3"/>
        <v/>
      </c>
      <c r="F45" s="108" t="str">
        <f t="shared" si="4"/>
        <v/>
      </c>
      <c r="G45" s="112" t="str">
        <f t="shared" si="5"/>
        <v/>
      </c>
      <c r="L45" s="108">
        <f>INDEX(Starter!A:A,ROW()-1)</f>
        <v>7126</v>
      </c>
      <c r="M45" s="108">
        <f>SUMIF(Erfassung1!BD:BD,L45,Erfassung1!BS:BS)</f>
        <v>0</v>
      </c>
      <c r="N45" s="108">
        <f>SUMIF(Erfassung1!BD:BD,L45,Erfassung1!BG:BG)</f>
        <v>0</v>
      </c>
      <c r="O45" s="108">
        <f t="shared" si="0"/>
        <v>0</v>
      </c>
      <c r="P45" s="108">
        <f t="shared" si="1"/>
        <v>27</v>
      </c>
    </row>
    <row r="46" spans="1:16" x14ac:dyDescent="0.2">
      <c r="A46" s="108" t="str">
        <f t="shared" si="6"/>
        <v/>
      </c>
      <c r="B46" s="108" t="str">
        <f t="shared" si="2"/>
        <v/>
      </c>
      <c r="C46" s="108" t="str">
        <f>IFERROR(INDEX(Starter!B:B,MATCH(B46,Starter!A:A,0)),"")</f>
        <v/>
      </c>
      <c r="D46" s="108" t="str">
        <f>IFERROR(INDEX(Starter!C:C,MATCH(B46,Starter!A:A,0)),"")</f>
        <v/>
      </c>
      <c r="E46" s="117" t="str">
        <f t="shared" si="3"/>
        <v/>
      </c>
      <c r="F46" s="108" t="str">
        <f t="shared" si="4"/>
        <v/>
      </c>
      <c r="G46" s="112" t="str">
        <f t="shared" si="5"/>
        <v/>
      </c>
      <c r="L46" s="108">
        <f>INDEX(Starter!A:A,ROW()-1)</f>
        <v>0</v>
      </c>
      <c r="M46" s="108">
        <f>SUMIF(Erfassung1!BD:BD,L46,Erfassung1!BS:BS)</f>
        <v>0</v>
      </c>
      <c r="N46" s="108">
        <f>SUMIF(Erfassung1!BD:BD,L46,Erfassung1!BG:BG)</f>
        <v>0</v>
      </c>
      <c r="O46" s="108">
        <f t="shared" si="0"/>
        <v>0</v>
      </c>
      <c r="P46" s="108">
        <f t="shared" si="1"/>
        <v>27</v>
      </c>
    </row>
    <row r="47" spans="1:16" x14ac:dyDescent="0.2">
      <c r="A47" s="108" t="str">
        <f t="shared" si="6"/>
        <v/>
      </c>
      <c r="B47" s="108" t="str">
        <f t="shared" si="2"/>
        <v/>
      </c>
      <c r="C47" s="108" t="str">
        <f>IFERROR(INDEX(Starter!B:B,MATCH(B47,Starter!A:A,0)),"")</f>
        <v/>
      </c>
      <c r="D47" s="108" t="str">
        <f>IFERROR(INDEX(Starter!C:C,MATCH(B47,Starter!A:A,0)),"")</f>
        <v/>
      </c>
      <c r="E47" s="117" t="str">
        <f t="shared" si="3"/>
        <v/>
      </c>
      <c r="F47" s="108" t="str">
        <f t="shared" si="4"/>
        <v/>
      </c>
      <c r="G47" s="112" t="str">
        <f t="shared" si="5"/>
        <v/>
      </c>
      <c r="L47" s="108">
        <f>INDEX(Starter!A:A,ROW()-1)</f>
        <v>0</v>
      </c>
      <c r="M47" s="108">
        <f>SUMIF(Erfassung1!BD:BD,L47,Erfassung1!BS:BS)</f>
        <v>0</v>
      </c>
      <c r="N47" s="108">
        <f>SUMIF(Erfassung1!BD:BD,L47,Erfassung1!BG:BG)</f>
        <v>0</v>
      </c>
      <c r="O47" s="108">
        <f t="shared" si="0"/>
        <v>0</v>
      </c>
      <c r="P47" s="108">
        <f t="shared" si="1"/>
        <v>27</v>
      </c>
    </row>
    <row r="48" spans="1:16" x14ac:dyDescent="0.2">
      <c r="A48" s="108" t="str">
        <f t="shared" si="6"/>
        <v/>
      </c>
      <c r="B48" s="108" t="str">
        <f t="shared" si="2"/>
        <v/>
      </c>
      <c r="C48" s="108" t="str">
        <f>IFERROR(INDEX(Starter!B:B,MATCH(B48,Starter!A:A,0)),"")</f>
        <v/>
      </c>
      <c r="D48" s="108" t="str">
        <f>IFERROR(INDEX(Starter!C:C,MATCH(B48,Starter!A:A,0)),"")</f>
        <v/>
      </c>
      <c r="E48" s="117" t="str">
        <f t="shared" si="3"/>
        <v/>
      </c>
      <c r="F48" s="108" t="str">
        <f t="shared" si="4"/>
        <v/>
      </c>
      <c r="G48" s="112" t="str">
        <f t="shared" si="5"/>
        <v/>
      </c>
      <c r="L48" s="108">
        <f>INDEX(Starter!A:A,ROW()-1)</f>
        <v>0</v>
      </c>
      <c r="M48" s="108">
        <f>SUMIF(Erfassung1!BD:BD,L48,Erfassung1!BS:BS)</f>
        <v>0</v>
      </c>
      <c r="N48" s="108">
        <f>SUMIF(Erfassung1!BD:BD,L48,Erfassung1!BG:BG)</f>
        <v>0</v>
      </c>
      <c r="O48" s="108">
        <f t="shared" si="0"/>
        <v>0</v>
      </c>
      <c r="P48" s="108">
        <f t="shared" si="1"/>
        <v>27</v>
      </c>
    </row>
    <row r="49" spans="1:16" x14ac:dyDescent="0.2">
      <c r="A49" s="108" t="str">
        <f t="shared" si="6"/>
        <v/>
      </c>
      <c r="B49" s="108" t="str">
        <f t="shared" si="2"/>
        <v/>
      </c>
      <c r="C49" s="108" t="str">
        <f>IFERROR(INDEX(Starter!B:B,MATCH(B49,Starter!A:A,0)),"")</f>
        <v/>
      </c>
      <c r="D49" s="108" t="str">
        <f>IFERROR(INDEX(Starter!C:C,MATCH(B49,Starter!A:A,0)),"")</f>
        <v/>
      </c>
      <c r="E49" s="117" t="str">
        <f t="shared" si="3"/>
        <v/>
      </c>
      <c r="F49" s="108" t="str">
        <f t="shared" si="4"/>
        <v/>
      </c>
      <c r="G49" s="112" t="str">
        <f t="shared" si="5"/>
        <v/>
      </c>
      <c r="L49" s="108">
        <f>INDEX(Starter!A:A,ROW()-1)</f>
        <v>0</v>
      </c>
      <c r="M49" s="108">
        <f>SUMIF(Erfassung1!BD:BD,L49,Erfassung1!BS:BS)</f>
        <v>0</v>
      </c>
      <c r="N49" s="108">
        <f>SUMIF(Erfassung1!BD:BD,L49,Erfassung1!BG:BG)</f>
        <v>0</v>
      </c>
      <c r="O49" s="108">
        <f t="shared" si="0"/>
        <v>0</v>
      </c>
      <c r="P49" s="108">
        <f t="shared" si="1"/>
        <v>27</v>
      </c>
    </row>
    <row r="50" spans="1:16" x14ac:dyDescent="0.2">
      <c r="A50" s="108" t="str">
        <f t="shared" si="6"/>
        <v/>
      </c>
      <c r="B50" s="108" t="str">
        <f t="shared" si="2"/>
        <v/>
      </c>
      <c r="C50" s="108" t="str">
        <f>IFERROR(INDEX(Starter!B:B,MATCH(B50,Starter!A:A,0)),"")</f>
        <v/>
      </c>
      <c r="D50" s="108" t="str">
        <f>IFERROR(INDEX(Starter!C:C,MATCH(B50,Starter!A:A,0)),"")</f>
        <v/>
      </c>
      <c r="E50" s="117" t="str">
        <f t="shared" si="3"/>
        <v/>
      </c>
      <c r="F50" s="108" t="str">
        <f t="shared" si="4"/>
        <v/>
      </c>
      <c r="G50" s="112" t="str">
        <f t="shared" si="5"/>
        <v/>
      </c>
      <c r="L50" s="108">
        <f>INDEX(Starter!A:A,ROW()-1)</f>
        <v>0</v>
      </c>
      <c r="M50" s="108">
        <f>SUMIF(Erfassung1!BD:BD,L50,Erfassung1!BS:BS)</f>
        <v>0</v>
      </c>
      <c r="N50" s="108">
        <f>SUMIF(Erfassung1!BD:BD,L50,Erfassung1!BG:BG)</f>
        <v>0</v>
      </c>
      <c r="O50" s="108">
        <f t="shared" si="0"/>
        <v>0</v>
      </c>
      <c r="P50" s="108">
        <f t="shared" si="1"/>
        <v>27</v>
      </c>
    </row>
    <row r="51" spans="1:16" x14ac:dyDescent="0.2">
      <c r="A51" s="108" t="str">
        <f t="shared" si="6"/>
        <v/>
      </c>
      <c r="B51" s="108" t="str">
        <f t="shared" si="2"/>
        <v/>
      </c>
      <c r="C51" s="108" t="str">
        <f>IFERROR(INDEX(Starter!B:B,MATCH(B51,Starter!A:A,0)),"")</f>
        <v/>
      </c>
      <c r="D51" s="108" t="str">
        <f>IFERROR(INDEX(Starter!C:C,MATCH(B51,Starter!A:A,0)),"")</f>
        <v/>
      </c>
      <c r="E51" s="117" t="str">
        <f t="shared" si="3"/>
        <v/>
      </c>
      <c r="F51" s="108" t="str">
        <f t="shared" si="4"/>
        <v/>
      </c>
      <c r="G51" s="112" t="str">
        <f t="shared" si="5"/>
        <v/>
      </c>
      <c r="L51" s="108">
        <f>INDEX(Starter!A:A,ROW()-1)</f>
        <v>0</v>
      </c>
      <c r="M51" s="108">
        <f>SUMIF(Erfassung1!BD:BD,L51,Erfassung1!BS:BS)</f>
        <v>0</v>
      </c>
      <c r="N51" s="108">
        <f>SUMIF(Erfassung1!BD:BD,L51,Erfassung1!BG:BG)</f>
        <v>0</v>
      </c>
      <c r="O51" s="108">
        <f t="shared" si="0"/>
        <v>0</v>
      </c>
      <c r="P51" s="108">
        <f t="shared" si="1"/>
        <v>27</v>
      </c>
    </row>
    <row r="52" spans="1:16" x14ac:dyDescent="0.2">
      <c r="A52" s="108" t="str">
        <f t="shared" si="6"/>
        <v/>
      </c>
      <c r="B52" s="108" t="str">
        <f t="shared" si="2"/>
        <v/>
      </c>
      <c r="C52" s="108" t="str">
        <f>IFERROR(INDEX(Starter!B:B,MATCH(B52,Starter!A:A,0)),"")</f>
        <v/>
      </c>
      <c r="D52" s="108" t="str">
        <f>IFERROR(INDEX(Starter!C:C,MATCH(B52,Starter!A:A,0)),"")</f>
        <v/>
      </c>
      <c r="E52" s="117" t="str">
        <f t="shared" si="3"/>
        <v/>
      </c>
      <c r="F52" s="108" t="str">
        <f t="shared" si="4"/>
        <v/>
      </c>
      <c r="G52" s="112" t="str">
        <f t="shared" si="5"/>
        <v/>
      </c>
      <c r="L52" s="108">
        <f>INDEX(Starter!A:A,ROW()-1)</f>
        <v>0</v>
      </c>
      <c r="M52" s="108">
        <f>SUMIF(Erfassung1!BD:BD,L52,Erfassung1!BS:BS)</f>
        <v>0</v>
      </c>
      <c r="N52" s="108">
        <f>SUMIF(Erfassung1!BD:BD,L52,Erfassung1!BG:BG)</f>
        <v>0</v>
      </c>
      <c r="O52" s="108">
        <f t="shared" si="0"/>
        <v>0</v>
      </c>
      <c r="P52" s="108">
        <f t="shared" si="1"/>
        <v>27</v>
      </c>
    </row>
    <row r="53" spans="1:16" x14ac:dyDescent="0.2">
      <c r="A53" s="108" t="str">
        <f t="shared" si="6"/>
        <v/>
      </c>
      <c r="B53" s="108" t="str">
        <f t="shared" si="2"/>
        <v/>
      </c>
      <c r="C53" s="108" t="str">
        <f>IFERROR(INDEX(Starter!B:B,MATCH(B53,Starter!A:A,0)),"")</f>
        <v/>
      </c>
      <c r="D53" s="108" t="str">
        <f>IFERROR(INDEX(Starter!C:C,MATCH(B53,Starter!A:A,0)),"")</f>
        <v/>
      </c>
      <c r="E53" s="117" t="str">
        <f t="shared" si="3"/>
        <v/>
      </c>
      <c r="F53" s="108" t="str">
        <f t="shared" si="4"/>
        <v/>
      </c>
      <c r="G53" s="112" t="str">
        <f t="shared" si="5"/>
        <v/>
      </c>
      <c r="L53" s="108">
        <f>INDEX(Starter!A:A,ROW()-1)</f>
        <v>0</v>
      </c>
      <c r="M53" s="108">
        <f>SUMIF(Erfassung1!BD:BD,L53,Erfassung1!BS:BS)</f>
        <v>0</v>
      </c>
      <c r="N53" s="108">
        <f>SUMIF(Erfassung1!BD:BD,L53,Erfassung1!BG:BG)</f>
        <v>0</v>
      </c>
      <c r="O53" s="108">
        <f t="shared" si="0"/>
        <v>0</v>
      </c>
      <c r="P53" s="108">
        <f t="shared" si="1"/>
        <v>27</v>
      </c>
    </row>
    <row r="54" spans="1:16" x14ac:dyDescent="0.2">
      <c r="A54" s="108" t="str">
        <f t="shared" si="6"/>
        <v/>
      </c>
      <c r="B54" s="108" t="str">
        <f t="shared" si="2"/>
        <v/>
      </c>
      <c r="C54" s="108" t="str">
        <f>IFERROR(INDEX(Starter!B:B,MATCH(B54,Starter!A:A,0)),"")</f>
        <v/>
      </c>
      <c r="D54" s="108" t="str">
        <f>IFERROR(INDEX(Starter!C:C,MATCH(B54,Starter!A:A,0)),"")</f>
        <v/>
      </c>
      <c r="E54" s="117" t="str">
        <f t="shared" si="3"/>
        <v/>
      </c>
      <c r="F54" s="108" t="str">
        <f t="shared" si="4"/>
        <v/>
      </c>
      <c r="G54" s="112" t="str">
        <f t="shared" si="5"/>
        <v/>
      </c>
      <c r="L54" s="108">
        <f>INDEX(Starter!A:A,ROW()-1)</f>
        <v>0</v>
      </c>
      <c r="M54" s="108">
        <f>SUMIF(Erfassung1!BD:BD,L54,Erfassung1!BS:BS)</f>
        <v>0</v>
      </c>
      <c r="N54" s="108">
        <f>SUMIF(Erfassung1!BD:BD,L54,Erfassung1!BG:BG)</f>
        <v>0</v>
      </c>
      <c r="O54" s="108">
        <f t="shared" si="0"/>
        <v>0</v>
      </c>
      <c r="P54" s="108">
        <f t="shared" si="1"/>
        <v>27</v>
      </c>
    </row>
    <row r="55" spans="1:16" x14ac:dyDescent="0.2">
      <c r="A55" s="108" t="str">
        <f t="shared" si="6"/>
        <v/>
      </c>
      <c r="B55" s="108" t="str">
        <f t="shared" si="2"/>
        <v/>
      </c>
      <c r="C55" s="108" t="str">
        <f>IFERROR(INDEX(Starter!B:B,MATCH(B55,Starter!A:A,0)),"")</f>
        <v/>
      </c>
      <c r="D55" s="108" t="str">
        <f>IFERROR(INDEX(Starter!C:C,MATCH(B55,Starter!A:A,0)),"")</f>
        <v/>
      </c>
      <c r="E55" s="117" t="str">
        <f t="shared" si="3"/>
        <v/>
      </c>
      <c r="F55" s="108" t="str">
        <f t="shared" si="4"/>
        <v/>
      </c>
      <c r="G55" s="112" t="str">
        <f t="shared" si="5"/>
        <v/>
      </c>
      <c r="L55" s="108">
        <f>INDEX(Starter!A:A,ROW()-1)</f>
        <v>0</v>
      </c>
      <c r="M55" s="108">
        <f>SUMIF(Erfassung1!BD:BD,L55,Erfassung1!BS:BS)</f>
        <v>0</v>
      </c>
      <c r="N55" s="108">
        <f>SUMIF(Erfassung1!BD:BD,L55,Erfassung1!BG:BG)</f>
        <v>0</v>
      </c>
      <c r="O55" s="108">
        <f t="shared" si="0"/>
        <v>0</v>
      </c>
      <c r="P55" s="108">
        <f t="shared" si="1"/>
        <v>27</v>
      </c>
    </row>
    <row r="56" spans="1:16" x14ac:dyDescent="0.2">
      <c r="A56" s="108" t="str">
        <f t="shared" si="6"/>
        <v/>
      </c>
      <c r="B56" s="108" t="str">
        <f t="shared" si="2"/>
        <v/>
      </c>
      <c r="C56" s="108" t="str">
        <f>IFERROR(INDEX(Starter!B:B,MATCH(B56,Starter!A:A,0)),"")</f>
        <v/>
      </c>
      <c r="D56" s="108" t="str">
        <f>IFERROR(INDEX(Starter!C:C,MATCH(B56,Starter!A:A,0)),"")</f>
        <v/>
      </c>
      <c r="E56" s="117" t="str">
        <f t="shared" si="3"/>
        <v/>
      </c>
      <c r="F56" s="108" t="str">
        <f t="shared" si="4"/>
        <v/>
      </c>
      <c r="G56" s="112" t="str">
        <f t="shared" si="5"/>
        <v/>
      </c>
      <c r="L56" s="108">
        <f>INDEX(Starter!A:A,ROW()-1)</f>
        <v>0</v>
      </c>
      <c r="M56" s="108">
        <f>SUMIF(Erfassung1!BD:BD,L56,Erfassung1!BS:BS)</f>
        <v>0</v>
      </c>
      <c r="N56" s="108">
        <f>SUMIF(Erfassung1!BD:BD,L56,Erfassung1!BG:BG)</f>
        <v>0</v>
      </c>
      <c r="O56" s="108">
        <f t="shared" si="0"/>
        <v>0</v>
      </c>
      <c r="P56" s="108">
        <f t="shared" si="1"/>
        <v>27</v>
      </c>
    </row>
    <row r="57" spans="1:16" x14ac:dyDescent="0.2">
      <c r="A57" s="108" t="str">
        <f t="shared" si="6"/>
        <v/>
      </c>
      <c r="B57" s="108" t="str">
        <f t="shared" si="2"/>
        <v/>
      </c>
      <c r="C57" s="108" t="str">
        <f>IFERROR(INDEX(Starter!B:B,MATCH(B57,Starter!A:A,0)),"")</f>
        <v/>
      </c>
      <c r="D57" s="108" t="str">
        <f>IFERROR(INDEX(Starter!C:C,MATCH(B57,Starter!A:A,0)),"")</f>
        <v/>
      </c>
      <c r="E57" s="117" t="str">
        <f t="shared" si="3"/>
        <v/>
      </c>
      <c r="F57" s="108" t="str">
        <f t="shared" si="4"/>
        <v/>
      </c>
      <c r="G57" s="112" t="str">
        <f t="shared" si="5"/>
        <v/>
      </c>
      <c r="L57" s="108">
        <f>INDEX(Starter!A:A,ROW()-1)</f>
        <v>0</v>
      </c>
      <c r="M57" s="108">
        <f>SUMIF(Erfassung1!BD:BD,L57,Erfassung1!BS:BS)</f>
        <v>0</v>
      </c>
      <c r="N57" s="108">
        <f>SUMIF(Erfassung1!BD:BD,L57,Erfassung1!BG:BG)</f>
        <v>0</v>
      </c>
      <c r="O57" s="108">
        <f t="shared" si="0"/>
        <v>0</v>
      </c>
      <c r="P57" s="108">
        <f t="shared" si="1"/>
        <v>27</v>
      </c>
    </row>
    <row r="58" spans="1:16" x14ac:dyDescent="0.2">
      <c r="A58" s="108" t="str">
        <f t="shared" si="6"/>
        <v/>
      </c>
      <c r="B58" s="108" t="str">
        <f t="shared" si="2"/>
        <v/>
      </c>
      <c r="C58" s="108" t="str">
        <f>IFERROR(INDEX(Starter!B:B,MATCH(B58,Starter!A:A,0)),"")</f>
        <v/>
      </c>
      <c r="D58" s="108" t="str">
        <f>IFERROR(INDEX(Starter!C:C,MATCH(B58,Starter!A:A,0)),"")</f>
        <v/>
      </c>
      <c r="E58" s="117" t="str">
        <f t="shared" si="3"/>
        <v/>
      </c>
      <c r="F58" s="108" t="str">
        <f t="shared" si="4"/>
        <v/>
      </c>
      <c r="G58" s="112" t="str">
        <f t="shared" si="5"/>
        <v/>
      </c>
      <c r="L58" s="108">
        <f>INDEX(Starter!A:A,ROW()-1)</f>
        <v>0</v>
      </c>
      <c r="M58" s="108">
        <f>SUMIF(Erfassung1!BD:BD,L58,Erfassung1!BS:BS)</f>
        <v>0</v>
      </c>
      <c r="N58" s="108">
        <f>SUMIF(Erfassung1!BD:BD,L58,Erfassung1!BG:BG)</f>
        <v>0</v>
      </c>
      <c r="O58" s="108">
        <f t="shared" si="0"/>
        <v>0</v>
      </c>
      <c r="P58" s="108">
        <f t="shared" si="1"/>
        <v>27</v>
      </c>
    </row>
    <row r="59" spans="1:16" x14ac:dyDescent="0.2">
      <c r="A59" s="108" t="str">
        <f t="shared" si="6"/>
        <v/>
      </c>
      <c r="B59" s="108" t="str">
        <f t="shared" si="2"/>
        <v/>
      </c>
      <c r="C59" s="108" t="str">
        <f>IFERROR(INDEX(Starter!B:B,MATCH(B59,Starter!A:A,0)),"")</f>
        <v/>
      </c>
      <c r="D59" s="108" t="str">
        <f>IFERROR(INDEX(Starter!C:C,MATCH(B59,Starter!A:A,0)),"")</f>
        <v/>
      </c>
      <c r="E59" s="117" t="str">
        <f t="shared" si="3"/>
        <v/>
      </c>
      <c r="F59" s="108" t="str">
        <f t="shared" si="4"/>
        <v/>
      </c>
      <c r="G59" s="112" t="str">
        <f t="shared" si="5"/>
        <v/>
      </c>
      <c r="L59" s="108">
        <f>INDEX(Starter!A:A,ROW()-1)</f>
        <v>0</v>
      </c>
      <c r="M59" s="108">
        <f>SUMIF(Erfassung1!BD:BD,L59,Erfassung1!BS:BS)</f>
        <v>0</v>
      </c>
      <c r="N59" s="108">
        <f>SUMIF(Erfassung1!BD:BD,L59,Erfassung1!BG:BG)</f>
        <v>0</v>
      </c>
      <c r="O59" s="108">
        <f t="shared" si="0"/>
        <v>0</v>
      </c>
      <c r="P59" s="108">
        <f t="shared" si="1"/>
        <v>27</v>
      </c>
    </row>
    <row r="60" spans="1:16" x14ac:dyDescent="0.2">
      <c r="A60" s="108" t="str">
        <f t="shared" si="6"/>
        <v/>
      </c>
      <c r="B60" s="108" t="str">
        <f t="shared" si="2"/>
        <v/>
      </c>
      <c r="C60" s="108" t="str">
        <f>IFERROR(INDEX(Starter!B:B,MATCH(B60,Starter!A:A,0)),"")</f>
        <v/>
      </c>
      <c r="D60" s="108" t="str">
        <f>IFERROR(INDEX(Starter!C:C,MATCH(B60,Starter!A:A,0)),"")</f>
        <v/>
      </c>
      <c r="E60" s="117" t="str">
        <f t="shared" si="3"/>
        <v/>
      </c>
      <c r="F60" s="108" t="str">
        <f t="shared" si="4"/>
        <v/>
      </c>
      <c r="G60" s="112" t="str">
        <f t="shared" si="5"/>
        <v/>
      </c>
      <c r="L60" s="108">
        <f>INDEX(Starter!A:A,ROW()-1)</f>
        <v>0</v>
      </c>
      <c r="M60" s="108">
        <f>SUMIF(Erfassung1!BD:BD,L60,Erfassung1!BS:BS)</f>
        <v>0</v>
      </c>
      <c r="N60" s="108">
        <f>SUMIF(Erfassung1!BD:BD,L60,Erfassung1!BG:BG)</f>
        <v>0</v>
      </c>
      <c r="O60" s="108">
        <f t="shared" si="0"/>
        <v>0</v>
      </c>
      <c r="P60" s="108">
        <f t="shared" si="1"/>
        <v>27</v>
      </c>
    </row>
    <row r="61" spans="1:16" x14ac:dyDescent="0.2">
      <c r="A61" s="108" t="str">
        <f t="shared" si="6"/>
        <v/>
      </c>
      <c r="B61" s="108" t="str">
        <f t="shared" si="2"/>
        <v/>
      </c>
      <c r="C61" s="108" t="str">
        <f>IFERROR(INDEX(Starter!B:B,MATCH(B61,Starter!A:A,0)),"")</f>
        <v/>
      </c>
      <c r="D61" s="108" t="str">
        <f>IFERROR(INDEX(Starter!C:C,MATCH(B61,Starter!A:A,0)),"")</f>
        <v/>
      </c>
      <c r="E61" s="117" t="str">
        <f t="shared" si="3"/>
        <v/>
      </c>
      <c r="F61" s="108" t="str">
        <f t="shared" si="4"/>
        <v/>
      </c>
      <c r="G61" s="112" t="str">
        <f t="shared" si="5"/>
        <v/>
      </c>
      <c r="L61" s="108">
        <f>INDEX(Starter!A:A,ROW()-1)</f>
        <v>0</v>
      </c>
      <c r="M61" s="108">
        <f>SUMIF(Erfassung1!BD:BD,L61,Erfassung1!BS:BS)</f>
        <v>0</v>
      </c>
      <c r="N61" s="108">
        <f>SUMIF(Erfassung1!BD:BD,L61,Erfassung1!BG:BG)</f>
        <v>0</v>
      </c>
      <c r="O61" s="108">
        <f t="shared" si="0"/>
        <v>0</v>
      </c>
      <c r="P61" s="108">
        <f t="shared" si="1"/>
        <v>27</v>
      </c>
    </row>
    <row r="62" spans="1:16" x14ac:dyDescent="0.2">
      <c r="A62" s="108" t="str">
        <f t="shared" si="6"/>
        <v/>
      </c>
      <c r="B62" s="108" t="str">
        <f t="shared" si="2"/>
        <v/>
      </c>
      <c r="C62" s="108" t="str">
        <f>IFERROR(INDEX(Starter!B:B,MATCH(B62,Starter!A:A,0)),"")</f>
        <v/>
      </c>
      <c r="D62" s="108" t="str">
        <f>IFERROR(INDEX(Starter!C:C,MATCH(B62,Starter!A:A,0)),"")</f>
        <v/>
      </c>
      <c r="E62" s="117" t="str">
        <f t="shared" si="3"/>
        <v/>
      </c>
      <c r="F62" s="108" t="str">
        <f t="shared" si="4"/>
        <v/>
      </c>
      <c r="G62" s="112" t="str">
        <f t="shared" si="5"/>
        <v/>
      </c>
      <c r="L62" s="108">
        <f>INDEX(Starter!A:A,ROW()-1)</f>
        <v>0</v>
      </c>
      <c r="M62" s="108">
        <f>SUMIF(Erfassung1!BD:BD,L62,Erfassung1!BS:BS)</f>
        <v>0</v>
      </c>
      <c r="N62" s="108">
        <f>SUMIF(Erfassung1!BD:BD,L62,Erfassung1!BG:BG)</f>
        <v>0</v>
      </c>
      <c r="O62" s="108">
        <f t="shared" si="0"/>
        <v>0</v>
      </c>
      <c r="P62" s="108">
        <f t="shared" si="1"/>
        <v>27</v>
      </c>
    </row>
    <row r="63" spans="1:16" x14ac:dyDescent="0.2">
      <c r="A63" s="108" t="str">
        <f t="shared" si="6"/>
        <v/>
      </c>
      <c r="B63" s="108" t="str">
        <f t="shared" si="2"/>
        <v/>
      </c>
      <c r="C63" s="108" t="str">
        <f>IFERROR(INDEX(Starter!B:B,MATCH(B63,Starter!A:A,0)),"")</f>
        <v/>
      </c>
      <c r="D63" s="108" t="str">
        <f>IFERROR(INDEX(Starter!C:C,MATCH(B63,Starter!A:A,0)),"")</f>
        <v/>
      </c>
      <c r="E63" s="117" t="str">
        <f t="shared" si="3"/>
        <v/>
      </c>
      <c r="F63" s="108" t="str">
        <f t="shared" si="4"/>
        <v/>
      </c>
      <c r="G63" s="112" t="str">
        <f t="shared" si="5"/>
        <v/>
      </c>
      <c r="L63" s="108">
        <f>INDEX(Starter!A:A,ROW()-1)</f>
        <v>0</v>
      </c>
      <c r="M63" s="108">
        <f>SUMIF(Erfassung1!BD:BD,L63,Erfassung1!BS:BS)</f>
        <v>0</v>
      </c>
      <c r="N63" s="108">
        <f>SUMIF(Erfassung1!BD:BD,L63,Erfassung1!BG:BG)</f>
        <v>0</v>
      </c>
      <c r="O63" s="108">
        <f t="shared" si="0"/>
        <v>0</v>
      </c>
      <c r="P63" s="108">
        <f t="shared" si="1"/>
        <v>27</v>
      </c>
    </row>
    <row r="64" spans="1:16" x14ac:dyDescent="0.2">
      <c r="A64" s="108" t="str">
        <f t="shared" si="6"/>
        <v/>
      </c>
      <c r="B64" s="108" t="str">
        <f t="shared" si="2"/>
        <v/>
      </c>
      <c r="C64" s="108" t="str">
        <f>IFERROR(INDEX(Starter!B:B,MATCH(B64,Starter!A:A,0)),"")</f>
        <v/>
      </c>
      <c r="D64" s="108" t="str">
        <f>IFERROR(INDEX(Starter!C:C,MATCH(B64,Starter!A:A,0)),"")</f>
        <v/>
      </c>
      <c r="E64" s="117" t="str">
        <f t="shared" si="3"/>
        <v/>
      </c>
      <c r="F64" s="108" t="str">
        <f t="shared" si="4"/>
        <v/>
      </c>
      <c r="G64" s="112" t="str">
        <f t="shared" si="5"/>
        <v/>
      </c>
      <c r="L64" s="108">
        <f>INDEX(Starter!A:A,ROW()-1)</f>
        <v>0</v>
      </c>
      <c r="M64" s="108">
        <f>SUMIF(Erfassung1!BD:BD,L64,Erfassung1!BS:BS)</f>
        <v>0</v>
      </c>
      <c r="N64" s="108">
        <f>SUMIF(Erfassung1!BD:BD,L64,Erfassung1!BG:BG)</f>
        <v>0</v>
      </c>
      <c r="O64" s="108">
        <f t="shared" si="0"/>
        <v>0</v>
      </c>
      <c r="P64" s="108">
        <f t="shared" si="1"/>
        <v>27</v>
      </c>
    </row>
    <row r="65" spans="1:16" x14ac:dyDescent="0.2">
      <c r="A65" s="108" t="str">
        <f t="shared" si="6"/>
        <v/>
      </c>
      <c r="B65" s="108" t="str">
        <f t="shared" si="2"/>
        <v/>
      </c>
      <c r="C65" s="108" t="str">
        <f>IFERROR(INDEX(Starter!B:B,MATCH(B65,Starter!A:A,0)),"")</f>
        <v/>
      </c>
      <c r="D65" s="108" t="str">
        <f>IFERROR(INDEX(Starter!C:C,MATCH(B65,Starter!A:A,0)),"")</f>
        <v/>
      </c>
      <c r="E65" s="117" t="str">
        <f t="shared" si="3"/>
        <v/>
      </c>
      <c r="F65" s="108" t="str">
        <f t="shared" si="4"/>
        <v/>
      </c>
      <c r="G65" s="112" t="str">
        <f t="shared" si="5"/>
        <v/>
      </c>
      <c r="L65" s="108">
        <f>INDEX(Starter!A:A,ROW()-1)</f>
        <v>0</v>
      </c>
      <c r="M65" s="108">
        <f>SUMIF(Erfassung1!BD:BD,L65,Erfassung1!BS:BS)</f>
        <v>0</v>
      </c>
      <c r="N65" s="108">
        <f>SUMIF(Erfassung1!BD:BD,L65,Erfassung1!BG:BG)</f>
        <v>0</v>
      </c>
      <c r="O65" s="108">
        <f t="shared" si="0"/>
        <v>0</v>
      </c>
      <c r="P65" s="108">
        <f t="shared" si="1"/>
        <v>27</v>
      </c>
    </row>
    <row r="66" spans="1:16" x14ac:dyDescent="0.2">
      <c r="A66" s="108" t="str">
        <f t="shared" si="6"/>
        <v/>
      </c>
      <c r="B66" s="108" t="str">
        <f t="shared" si="2"/>
        <v/>
      </c>
      <c r="C66" s="108" t="str">
        <f>IFERROR(INDEX(Starter!B:B,MATCH(B66,Starter!A:A,0)),"")</f>
        <v/>
      </c>
      <c r="D66" s="108" t="str">
        <f>IFERROR(INDEX(Starter!C:C,MATCH(B66,Starter!A:A,0)),"")</f>
        <v/>
      </c>
      <c r="E66" s="117" t="str">
        <f t="shared" si="3"/>
        <v/>
      </c>
      <c r="F66" s="108" t="str">
        <f t="shared" si="4"/>
        <v/>
      </c>
      <c r="G66" s="112" t="str">
        <f t="shared" si="5"/>
        <v/>
      </c>
      <c r="L66" s="108">
        <f>INDEX(Starter!A:A,ROW()-1)</f>
        <v>0</v>
      </c>
      <c r="M66" s="108">
        <f>SUMIF(Erfassung1!BD:BD,L66,Erfassung1!BS:BS)</f>
        <v>0</v>
      </c>
      <c r="N66" s="108">
        <f>SUMIF(Erfassung1!BD:BD,L66,Erfassung1!BG:BG)</f>
        <v>0</v>
      </c>
      <c r="O66" s="108">
        <f t="shared" ref="O66:O104" si="7">IF(N66=0,0,M66/N66-ROW()/1000000000)</f>
        <v>0</v>
      </c>
      <c r="P66" s="108">
        <f t="shared" ref="P66:P104" si="8">RANK(O66,O:O)</f>
        <v>27</v>
      </c>
    </row>
    <row r="67" spans="1:16" x14ac:dyDescent="0.2">
      <c r="A67" s="108" t="str">
        <f t="shared" si="6"/>
        <v/>
      </c>
      <c r="B67" s="108" t="str">
        <f t="shared" si="2"/>
        <v/>
      </c>
      <c r="C67" s="108" t="str">
        <f>IFERROR(INDEX(Starter!B:B,MATCH(B67,Starter!A:A,0)),"")</f>
        <v/>
      </c>
      <c r="D67" s="108" t="str">
        <f>IFERROR(INDEX(Starter!C:C,MATCH(B67,Starter!A:A,0)),"")</f>
        <v/>
      </c>
      <c r="E67" s="117" t="str">
        <f t="shared" si="3"/>
        <v/>
      </c>
      <c r="F67" s="108" t="str">
        <f t="shared" si="4"/>
        <v/>
      </c>
      <c r="G67" s="112" t="str">
        <f t="shared" si="5"/>
        <v/>
      </c>
      <c r="L67" s="108">
        <f>INDEX(Starter!A:A,ROW()-1)</f>
        <v>0</v>
      </c>
      <c r="M67" s="108">
        <f>SUMIF(Erfassung1!BD:BD,L67,Erfassung1!BS:BS)</f>
        <v>0</v>
      </c>
      <c r="N67" s="108">
        <f>SUMIF(Erfassung1!BD:BD,L67,Erfassung1!BG:BG)</f>
        <v>0</v>
      </c>
      <c r="O67" s="108">
        <f t="shared" si="7"/>
        <v>0</v>
      </c>
      <c r="P67" s="108">
        <f t="shared" si="8"/>
        <v>27</v>
      </c>
    </row>
    <row r="68" spans="1:16" x14ac:dyDescent="0.2">
      <c r="A68" s="108" t="str">
        <f t="shared" si="6"/>
        <v/>
      </c>
      <c r="B68" s="108" t="str">
        <f t="shared" si="2"/>
        <v/>
      </c>
      <c r="C68" s="108" t="str">
        <f>IFERROR(INDEX(Starter!B:B,MATCH(B68,Starter!A:A,0)),"")</f>
        <v/>
      </c>
      <c r="D68" s="108" t="str">
        <f>IFERROR(INDEX(Starter!C:C,MATCH(B68,Starter!A:A,0)),"")</f>
        <v/>
      </c>
      <c r="E68" s="117" t="str">
        <f t="shared" si="3"/>
        <v/>
      </c>
      <c r="F68" s="108" t="str">
        <f t="shared" si="4"/>
        <v/>
      </c>
      <c r="G68" s="112" t="str">
        <f t="shared" si="5"/>
        <v/>
      </c>
      <c r="L68" s="108">
        <f>INDEX(Starter!A:A,ROW()-1)</f>
        <v>0</v>
      </c>
      <c r="M68" s="108">
        <f>SUMIF(Erfassung1!BD:BD,L68,Erfassung1!BS:BS)</f>
        <v>0</v>
      </c>
      <c r="N68" s="108">
        <f>SUMIF(Erfassung1!BD:BD,L68,Erfassung1!BG:BG)</f>
        <v>0</v>
      </c>
      <c r="O68" s="108">
        <f t="shared" si="7"/>
        <v>0</v>
      </c>
      <c r="P68" s="108">
        <f t="shared" si="8"/>
        <v>27</v>
      </c>
    </row>
    <row r="69" spans="1:16" x14ac:dyDescent="0.2">
      <c r="A69" s="108" t="str">
        <f t="shared" si="6"/>
        <v/>
      </c>
      <c r="B69" s="108" t="str">
        <f t="shared" ref="B69:B100" si="9">IFERROR(INDEX(L:L,MATCH(A69,P:P,0)),"")</f>
        <v/>
      </c>
      <c r="C69" s="108" t="str">
        <f>IFERROR(INDEX(Starter!B:B,MATCH(B69,Starter!A:A,0)),"")</f>
        <v/>
      </c>
      <c r="D69" s="108" t="str">
        <f>IFERROR(INDEX(Starter!C:C,MATCH(B69,Starter!A:A,0)),"")</f>
        <v/>
      </c>
      <c r="E69" s="117" t="str">
        <f t="shared" ref="E69:E104" si="10">IFERROR(INDEX(M:M,MATCH(A69,P:P,0)),"")</f>
        <v/>
      </c>
      <c r="F69" s="108" t="str">
        <f t="shared" ref="F69:F104" si="11">IFERROR(INDEX(N:N,MATCH(A69,P:P,0)),"")</f>
        <v/>
      </c>
      <c r="G69" s="112" t="str">
        <f t="shared" ref="G69:G104" si="12">IFERROR(INDEX(O:O,MATCH(A69,P:P,0)),"")</f>
        <v/>
      </c>
      <c r="L69" s="108">
        <f>INDEX(Starter!A:A,ROW()-1)</f>
        <v>0</v>
      </c>
      <c r="M69" s="108">
        <f>SUMIF(Erfassung1!BD:BD,L69,Erfassung1!BS:BS)</f>
        <v>0</v>
      </c>
      <c r="N69" s="108">
        <f>SUMIF(Erfassung1!BD:BD,L69,Erfassung1!BG:BG)</f>
        <v>0</v>
      </c>
      <c r="O69" s="108">
        <f t="shared" si="7"/>
        <v>0</v>
      </c>
      <c r="P69" s="108">
        <f t="shared" si="8"/>
        <v>27</v>
      </c>
    </row>
    <row r="70" spans="1:16" x14ac:dyDescent="0.2">
      <c r="A70" s="108" t="str">
        <f t="shared" ref="A70:A104" si="13">IFERROR(IF(A69+1&gt;MAX(P:P)-1,"",A69+1),"")</f>
        <v/>
      </c>
      <c r="B70" s="108" t="str">
        <f t="shared" si="9"/>
        <v/>
      </c>
      <c r="C70" s="108" t="str">
        <f>IFERROR(INDEX(Starter!B:B,MATCH(B70,Starter!A:A,0)),"")</f>
        <v/>
      </c>
      <c r="D70" s="108" t="str">
        <f>IFERROR(INDEX(Starter!C:C,MATCH(B70,Starter!A:A,0)),"")</f>
        <v/>
      </c>
      <c r="E70" s="117" t="str">
        <f t="shared" si="10"/>
        <v/>
      </c>
      <c r="F70" s="108" t="str">
        <f t="shared" si="11"/>
        <v/>
      </c>
      <c r="G70" s="112" t="str">
        <f t="shared" si="12"/>
        <v/>
      </c>
      <c r="L70" s="108">
        <f>INDEX(Starter!A:A,ROW()-1)</f>
        <v>0</v>
      </c>
      <c r="M70" s="108">
        <f>SUMIF(Erfassung1!BD:BD,L70,Erfassung1!BS:BS)</f>
        <v>0</v>
      </c>
      <c r="N70" s="108">
        <f>SUMIF(Erfassung1!BD:BD,L70,Erfassung1!BG:BG)</f>
        <v>0</v>
      </c>
      <c r="O70" s="108">
        <f t="shared" si="7"/>
        <v>0</v>
      </c>
      <c r="P70" s="108">
        <f t="shared" si="8"/>
        <v>27</v>
      </c>
    </row>
    <row r="71" spans="1:16" x14ac:dyDescent="0.2">
      <c r="A71" s="108" t="str">
        <f t="shared" si="13"/>
        <v/>
      </c>
      <c r="B71" s="108" t="str">
        <f t="shared" si="9"/>
        <v/>
      </c>
      <c r="C71" s="108" t="str">
        <f>IFERROR(INDEX(Starter!B:B,MATCH(B71,Starter!A:A,0)),"")</f>
        <v/>
      </c>
      <c r="D71" s="108" t="str">
        <f>IFERROR(INDEX(Starter!C:C,MATCH(B71,Starter!A:A,0)),"")</f>
        <v/>
      </c>
      <c r="E71" s="117" t="str">
        <f t="shared" si="10"/>
        <v/>
      </c>
      <c r="F71" s="108" t="str">
        <f t="shared" si="11"/>
        <v/>
      </c>
      <c r="G71" s="112" t="str">
        <f t="shared" si="12"/>
        <v/>
      </c>
      <c r="L71" s="108">
        <f>INDEX(Starter!A:A,ROW()-1)</f>
        <v>0</v>
      </c>
      <c r="M71" s="108">
        <f>SUMIF(Erfassung1!BD:BD,L71,Erfassung1!BS:BS)</f>
        <v>0</v>
      </c>
      <c r="N71" s="108">
        <f>SUMIF(Erfassung1!BD:BD,L71,Erfassung1!BG:BG)</f>
        <v>0</v>
      </c>
      <c r="O71" s="108">
        <f t="shared" si="7"/>
        <v>0</v>
      </c>
      <c r="P71" s="108">
        <f t="shared" si="8"/>
        <v>27</v>
      </c>
    </row>
    <row r="72" spans="1:16" x14ac:dyDescent="0.2">
      <c r="A72" s="108" t="str">
        <f t="shared" si="13"/>
        <v/>
      </c>
      <c r="B72" s="108" t="str">
        <f t="shared" si="9"/>
        <v/>
      </c>
      <c r="C72" s="108" t="str">
        <f>IFERROR(INDEX(Starter!B:B,MATCH(B72,Starter!A:A,0)),"")</f>
        <v/>
      </c>
      <c r="D72" s="108" t="str">
        <f>IFERROR(INDEX(Starter!C:C,MATCH(B72,Starter!A:A,0)),"")</f>
        <v/>
      </c>
      <c r="E72" s="117" t="str">
        <f t="shared" si="10"/>
        <v/>
      </c>
      <c r="F72" s="108" t="str">
        <f t="shared" si="11"/>
        <v/>
      </c>
      <c r="G72" s="112" t="str">
        <f t="shared" si="12"/>
        <v/>
      </c>
      <c r="L72" s="108">
        <f>INDEX(Starter!A:A,ROW()-1)</f>
        <v>0</v>
      </c>
      <c r="M72" s="108">
        <f>SUMIF(Erfassung1!BD:BD,L72,Erfassung1!BS:BS)</f>
        <v>0</v>
      </c>
      <c r="N72" s="108">
        <f>SUMIF(Erfassung1!BD:BD,L72,Erfassung1!BG:BG)</f>
        <v>0</v>
      </c>
      <c r="O72" s="108">
        <f t="shared" si="7"/>
        <v>0</v>
      </c>
      <c r="P72" s="108">
        <f t="shared" si="8"/>
        <v>27</v>
      </c>
    </row>
    <row r="73" spans="1:16" x14ac:dyDescent="0.2">
      <c r="A73" s="108" t="str">
        <f t="shared" si="13"/>
        <v/>
      </c>
      <c r="B73" s="108" t="str">
        <f t="shared" si="9"/>
        <v/>
      </c>
      <c r="C73" s="108" t="str">
        <f>IFERROR(INDEX(Starter!B:B,MATCH(B73,Starter!A:A,0)),"")</f>
        <v/>
      </c>
      <c r="D73" s="108" t="str">
        <f>IFERROR(INDEX(Starter!C:C,MATCH(B73,Starter!A:A,0)),"")</f>
        <v/>
      </c>
      <c r="E73" s="117" t="str">
        <f t="shared" si="10"/>
        <v/>
      </c>
      <c r="F73" s="108" t="str">
        <f t="shared" si="11"/>
        <v/>
      </c>
      <c r="G73" s="112" t="str">
        <f t="shared" si="12"/>
        <v/>
      </c>
      <c r="L73" s="108">
        <f>INDEX(Starter!A:A,ROW()-1)</f>
        <v>0</v>
      </c>
      <c r="M73" s="108">
        <f>SUMIF(Erfassung1!BD:BD,L73,Erfassung1!BS:BS)</f>
        <v>0</v>
      </c>
      <c r="N73" s="108">
        <f>SUMIF(Erfassung1!BD:BD,L73,Erfassung1!BG:BG)</f>
        <v>0</v>
      </c>
      <c r="O73" s="108">
        <f t="shared" si="7"/>
        <v>0</v>
      </c>
      <c r="P73" s="108">
        <f t="shared" si="8"/>
        <v>27</v>
      </c>
    </row>
    <row r="74" spans="1:16" x14ac:dyDescent="0.2">
      <c r="A74" s="108" t="str">
        <f t="shared" si="13"/>
        <v/>
      </c>
      <c r="B74" s="108" t="str">
        <f t="shared" si="9"/>
        <v/>
      </c>
      <c r="C74" s="108" t="str">
        <f>IFERROR(INDEX(Starter!B:B,MATCH(B74,Starter!A:A,0)),"")</f>
        <v/>
      </c>
      <c r="D74" s="108" t="str">
        <f>IFERROR(INDEX(Starter!C:C,MATCH(B74,Starter!A:A,0)),"")</f>
        <v/>
      </c>
      <c r="E74" s="117" t="str">
        <f t="shared" si="10"/>
        <v/>
      </c>
      <c r="F74" s="108" t="str">
        <f t="shared" si="11"/>
        <v/>
      </c>
      <c r="G74" s="112" t="str">
        <f t="shared" si="12"/>
        <v/>
      </c>
      <c r="L74" s="108">
        <f>INDEX(Starter!A:A,ROW()-1)</f>
        <v>0</v>
      </c>
      <c r="M74" s="108">
        <f>SUMIF(Erfassung1!BD:BD,L74,Erfassung1!BS:BS)</f>
        <v>0</v>
      </c>
      <c r="N74" s="108">
        <f>SUMIF(Erfassung1!BD:BD,L74,Erfassung1!BG:BG)</f>
        <v>0</v>
      </c>
      <c r="O74" s="108">
        <f t="shared" si="7"/>
        <v>0</v>
      </c>
      <c r="P74" s="108">
        <f t="shared" si="8"/>
        <v>27</v>
      </c>
    </row>
    <row r="75" spans="1:16" x14ac:dyDescent="0.2">
      <c r="A75" s="108" t="str">
        <f t="shared" si="13"/>
        <v/>
      </c>
      <c r="B75" s="108" t="str">
        <f t="shared" si="9"/>
        <v/>
      </c>
      <c r="C75" s="108" t="str">
        <f>IFERROR(INDEX(Starter!B:B,MATCH(B75,Starter!A:A,0)),"")</f>
        <v/>
      </c>
      <c r="D75" s="108" t="str">
        <f>IFERROR(INDEX(Starter!C:C,MATCH(B75,Starter!A:A,0)),"")</f>
        <v/>
      </c>
      <c r="E75" s="117" t="str">
        <f t="shared" si="10"/>
        <v/>
      </c>
      <c r="F75" s="108" t="str">
        <f t="shared" si="11"/>
        <v/>
      </c>
      <c r="G75" s="112" t="str">
        <f t="shared" si="12"/>
        <v/>
      </c>
      <c r="L75" s="108">
        <f>INDEX(Starter!A:A,ROW()-1)</f>
        <v>0</v>
      </c>
      <c r="M75" s="108">
        <f>SUMIF(Erfassung1!BD:BD,L75,Erfassung1!BS:BS)</f>
        <v>0</v>
      </c>
      <c r="N75" s="108">
        <f>SUMIF(Erfassung1!BD:BD,L75,Erfassung1!BG:BG)</f>
        <v>0</v>
      </c>
      <c r="O75" s="108">
        <f t="shared" si="7"/>
        <v>0</v>
      </c>
      <c r="P75" s="108">
        <f t="shared" si="8"/>
        <v>27</v>
      </c>
    </row>
    <row r="76" spans="1:16" x14ac:dyDescent="0.2">
      <c r="A76" s="108" t="str">
        <f t="shared" si="13"/>
        <v/>
      </c>
      <c r="B76" s="108" t="str">
        <f t="shared" si="9"/>
        <v/>
      </c>
      <c r="C76" s="108" t="str">
        <f>IFERROR(INDEX(Starter!B:B,MATCH(B76,Starter!A:A,0)),"")</f>
        <v/>
      </c>
      <c r="D76" s="108" t="str">
        <f>IFERROR(INDEX(Starter!C:C,MATCH(B76,Starter!A:A,0)),"")</f>
        <v/>
      </c>
      <c r="E76" s="117" t="str">
        <f t="shared" si="10"/>
        <v/>
      </c>
      <c r="F76" s="108" t="str">
        <f t="shared" si="11"/>
        <v/>
      </c>
      <c r="G76" s="112" t="str">
        <f t="shared" si="12"/>
        <v/>
      </c>
      <c r="L76" s="108">
        <f>INDEX(Starter!A:A,ROW()-1)</f>
        <v>0</v>
      </c>
      <c r="M76" s="108">
        <f>SUMIF(Erfassung1!BD:BD,L76,Erfassung1!BS:BS)</f>
        <v>0</v>
      </c>
      <c r="N76" s="108">
        <f>SUMIF(Erfassung1!BD:BD,L76,Erfassung1!BG:BG)</f>
        <v>0</v>
      </c>
      <c r="O76" s="108">
        <f t="shared" si="7"/>
        <v>0</v>
      </c>
      <c r="P76" s="108">
        <f t="shared" si="8"/>
        <v>27</v>
      </c>
    </row>
    <row r="77" spans="1:16" x14ac:dyDescent="0.2">
      <c r="A77" s="108" t="str">
        <f t="shared" si="13"/>
        <v/>
      </c>
      <c r="B77" s="108" t="str">
        <f t="shared" si="9"/>
        <v/>
      </c>
      <c r="C77" s="108" t="str">
        <f>IFERROR(INDEX(Starter!B:B,MATCH(B77,Starter!A:A,0)),"")</f>
        <v/>
      </c>
      <c r="D77" s="108" t="str">
        <f>IFERROR(INDEX(Starter!C:C,MATCH(B77,Starter!A:A,0)),"")</f>
        <v/>
      </c>
      <c r="E77" s="117" t="str">
        <f t="shared" si="10"/>
        <v/>
      </c>
      <c r="F77" s="108" t="str">
        <f t="shared" si="11"/>
        <v/>
      </c>
      <c r="G77" s="112" t="str">
        <f t="shared" si="12"/>
        <v/>
      </c>
      <c r="L77" s="108">
        <f>INDEX(Starter!A:A,ROW()-1)</f>
        <v>0</v>
      </c>
      <c r="M77" s="108">
        <f>SUMIF(Erfassung1!BD:BD,L77,Erfassung1!BS:BS)</f>
        <v>0</v>
      </c>
      <c r="N77" s="108">
        <f>SUMIF(Erfassung1!BD:BD,L77,Erfassung1!BG:BG)</f>
        <v>0</v>
      </c>
      <c r="O77" s="108">
        <f t="shared" si="7"/>
        <v>0</v>
      </c>
      <c r="P77" s="108">
        <f t="shared" si="8"/>
        <v>27</v>
      </c>
    </row>
    <row r="78" spans="1:16" x14ac:dyDescent="0.2">
      <c r="A78" s="108" t="str">
        <f t="shared" si="13"/>
        <v/>
      </c>
      <c r="B78" s="108" t="str">
        <f t="shared" si="9"/>
        <v/>
      </c>
      <c r="C78" s="108" t="str">
        <f>IFERROR(INDEX(Starter!B:B,MATCH(B78,Starter!A:A,0)),"")</f>
        <v/>
      </c>
      <c r="D78" s="108" t="str">
        <f>IFERROR(INDEX(Starter!C:C,MATCH(B78,Starter!A:A,0)),"")</f>
        <v/>
      </c>
      <c r="E78" s="117" t="str">
        <f t="shared" si="10"/>
        <v/>
      </c>
      <c r="F78" s="108" t="str">
        <f t="shared" si="11"/>
        <v/>
      </c>
      <c r="G78" s="112" t="str">
        <f t="shared" si="12"/>
        <v/>
      </c>
      <c r="L78" s="108">
        <f>INDEX(Starter!A:A,ROW()-1)</f>
        <v>0</v>
      </c>
      <c r="M78" s="108">
        <f>SUMIF(Erfassung1!BD:BD,L78,Erfassung1!BS:BS)</f>
        <v>0</v>
      </c>
      <c r="N78" s="108">
        <f>SUMIF(Erfassung1!BD:BD,L78,Erfassung1!BG:BG)</f>
        <v>0</v>
      </c>
      <c r="O78" s="108">
        <f t="shared" si="7"/>
        <v>0</v>
      </c>
      <c r="P78" s="108">
        <f t="shared" si="8"/>
        <v>27</v>
      </c>
    </row>
    <row r="79" spans="1:16" x14ac:dyDescent="0.2">
      <c r="A79" s="108" t="str">
        <f t="shared" si="13"/>
        <v/>
      </c>
      <c r="B79" s="108" t="str">
        <f t="shared" si="9"/>
        <v/>
      </c>
      <c r="C79" s="108" t="str">
        <f>IFERROR(INDEX(Starter!B:B,MATCH(B79,Starter!A:A,0)),"")</f>
        <v/>
      </c>
      <c r="D79" s="108" t="str">
        <f>IFERROR(INDEX(Starter!C:C,MATCH(B79,Starter!A:A,0)),"")</f>
        <v/>
      </c>
      <c r="E79" s="117" t="str">
        <f t="shared" si="10"/>
        <v/>
      </c>
      <c r="F79" s="108" t="str">
        <f t="shared" si="11"/>
        <v/>
      </c>
      <c r="G79" s="112" t="str">
        <f t="shared" si="12"/>
        <v/>
      </c>
      <c r="L79" s="108">
        <f>INDEX(Starter!A:A,ROW()-1)</f>
        <v>0</v>
      </c>
      <c r="M79" s="108">
        <f>SUMIF(Erfassung1!BD:BD,L79,Erfassung1!BS:BS)</f>
        <v>0</v>
      </c>
      <c r="N79" s="108">
        <f>SUMIF(Erfassung1!BD:BD,L79,Erfassung1!BG:BG)</f>
        <v>0</v>
      </c>
      <c r="O79" s="108">
        <f t="shared" si="7"/>
        <v>0</v>
      </c>
      <c r="P79" s="108">
        <f t="shared" si="8"/>
        <v>27</v>
      </c>
    </row>
    <row r="80" spans="1:16" x14ac:dyDescent="0.2">
      <c r="A80" s="108" t="str">
        <f t="shared" si="13"/>
        <v/>
      </c>
      <c r="B80" s="108" t="str">
        <f t="shared" si="9"/>
        <v/>
      </c>
      <c r="C80" s="108" t="str">
        <f>IFERROR(INDEX(Starter!B:B,MATCH(B80,Starter!A:A,0)),"")</f>
        <v/>
      </c>
      <c r="D80" s="108" t="str">
        <f>IFERROR(INDEX(Starter!C:C,MATCH(B80,Starter!A:A,0)),"")</f>
        <v/>
      </c>
      <c r="E80" s="117" t="str">
        <f t="shared" si="10"/>
        <v/>
      </c>
      <c r="F80" s="108" t="str">
        <f t="shared" si="11"/>
        <v/>
      </c>
      <c r="G80" s="112" t="str">
        <f t="shared" si="12"/>
        <v/>
      </c>
      <c r="L80" s="108">
        <f>INDEX(Starter!A:A,ROW()-1)</f>
        <v>0</v>
      </c>
      <c r="M80" s="108">
        <f>SUMIF(Erfassung1!BD:BD,L80,Erfassung1!BS:BS)</f>
        <v>0</v>
      </c>
      <c r="N80" s="108">
        <f>SUMIF(Erfassung1!BD:BD,L80,Erfassung1!BG:BG)</f>
        <v>0</v>
      </c>
      <c r="O80" s="108">
        <f t="shared" si="7"/>
        <v>0</v>
      </c>
      <c r="P80" s="108">
        <f t="shared" si="8"/>
        <v>27</v>
      </c>
    </row>
    <row r="81" spans="1:16" x14ac:dyDescent="0.2">
      <c r="A81" s="108" t="str">
        <f t="shared" si="13"/>
        <v/>
      </c>
      <c r="B81" s="108" t="str">
        <f t="shared" si="9"/>
        <v/>
      </c>
      <c r="C81" s="108" t="str">
        <f>IFERROR(INDEX(Starter!B:B,MATCH(B81,Starter!A:A,0)),"")</f>
        <v/>
      </c>
      <c r="D81" s="108" t="str">
        <f>IFERROR(INDEX(Starter!C:C,MATCH(B81,Starter!A:A,0)),"")</f>
        <v/>
      </c>
      <c r="E81" s="117" t="str">
        <f t="shared" si="10"/>
        <v/>
      </c>
      <c r="F81" s="108" t="str">
        <f t="shared" si="11"/>
        <v/>
      </c>
      <c r="G81" s="112" t="str">
        <f t="shared" si="12"/>
        <v/>
      </c>
      <c r="L81" s="108">
        <f>INDEX(Starter!A:A,ROW()-1)</f>
        <v>0</v>
      </c>
      <c r="M81" s="108">
        <f>SUMIF(Erfassung1!BD:BD,L81,Erfassung1!BS:BS)</f>
        <v>0</v>
      </c>
      <c r="N81" s="108">
        <f>SUMIF(Erfassung1!BD:BD,L81,Erfassung1!BG:BG)</f>
        <v>0</v>
      </c>
      <c r="O81" s="108">
        <f t="shared" si="7"/>
        <v>0</v>
      </c>
      <c r="P81" s="108">
        <f t="shared" si="8"/>
        <v>27</v>
      </c>
    </row>
    <row r="82" spans="1:16" x14ac:dyDescent="0.2">
      <c r="A82" s="108" t="str">
        <f t="shared" si="13"/>
        <v/>
      </c>
      <c r="B82" s="108" t="str">
        <f t="shared" si="9"/>
        <v/>
      </c>
      <c r="C82" s="108" t="str">
        <f>IFERROR(INDEX(Starter!B:B,MATCH(B82,Starter!A:A,0)),"")</f>
        <v/>
      </c>
      <c r="D82" s="108" t="str">
        <f>IFERROR(INDEX(Starter!C:C,MATCH(B82,Starter!A:A,0)),"")</f>
        <v/>
      </c>
      <c r="E82" s="117" t="str">
        <f t="shared" si="10"/>
        <v/>
      </c>
      <c r="F82" s="108" t="str">
        <f t="shared" si="11"/>
        <v/>
      </c>
      <c r="G82" s="112" t="str">
        <f t="shared" si="12"/>
        <v/>
      </c>
      <c r="L82" s="108">
        <f>INDEX(Starter!A:A,ROW()-1)</f>
        <v>0</v>
      </c>
      <c r="M82" s="108">
        <f>SUMIF(Erfassung1!BD:BD,L82,Erfassung1!BS:BS)</f>
        <v>0</v>
      </c>
      <c r="N82" s="108">
        <f>SUMIF(Erfassung1!BD:BD,L82,Erfassung1!BG:BG)</f>
        <v>0</v>
      </c>
      <c r="O82" s="108">
        <f t="shared" si="7"/>
        <v>0</v>
      </c>
      <c r="P82" s="108">
        <f t="shared" si="8"/>
        <v>27</v>
      </c>
    </row>
    <row r="83" spans="1:16" x14ac:dyDescent="0.2">
      <c r="A83" s="108" t="str">
        <f t="shared" si="13"/>
        <v/>
      </c>
      <c r="B83" s="108" t="str">
        <f t="shared" si="9"/>
        <v/>
      </c>
      <c r="C83" s="108" t="str">
        <f>IFERROR(INDEX(Starter!B:B,MATCH(B83,Starter!A:A,0)),"")</f>
        <v/>
      </c>
      <c r="D83" s="108" t="str">
        <f>IFERROR(INDEX(Starter!C:C,MATCH(B83,Starter!A:A,0)),"")</f>
        <v/>
      </c>
      <c r="E83" s="117" t="str">
        <f t="shared" si="10"/>
        <v/>
      </c>
      <c r="F83" s="108" t="str">
        <f t="shared" si="11"/>
        <v/>
      </c>
      <c r="G83" s="112" t="str">
        <f t="shared" si="12"/>
        <v/>
      </c>
      <c r="L83" s="108">
        <f>INDEX(Starter!A:A,ROW()-1)</f>
        <v>0</v>
      </c>
      <c r="M83" s="108">
        <f>SUMIF(Erfassung1!BD:BD,L83,Erfassung1!BS:BS)</f>
        <v>0</v>
      </c>
      <c r="N83" s="108">
        <f>SUMIF(Erfassung1!BD:BD,L83,Erfassung1!BG:BG)</f>
        <v>0</v>
      </c>
      <c r="O83" s="108">
        <f t="shared" si="7"/>
        <v>0</v>
      </c>
      <c r="P83" s="108">
        <f t="shared" si="8"/>
        <v>27</v>
      </c>
    </row>
    <row r="84" spans="1:16" x14ac:dyDescent="0.2">
      <c r="A84" s="108" t="str">
        <f t="shared" si="13"/>
        <v/>
      </c>
      <c r="B84" s="108" t="str">
        <f t="shared" si="9"/>
        <v/>
      </c>
      <c r="C84" s="108" t="str">
        <f>IFERROR(INDEX(Starter!B:B,MATCH(B84,Starter!A:A,0)),"")</f>
        <v/>
      </c>
      <c r="D84" s="108" t="str">
        <f>IFERROR(INDEX(Starter!C:C,MATCH(B84,Starter!A:A,0)),"")</f>
        <v/>
      </c>
      <c r="E84" s="117" t="str">
        <f t="shared" si="10"/>
        <v/>
      </c>
      <c r="F84" s="108" t="str">
        <f t="shared" si="11"/>
        <v/>
      </c>
      <c r="G84" s="112" t="str">
        <f t="shared" si="12"/>
        <v/>
      </c>
      <c r="L84" s="108">
        <f>INDEX(Starter!A:A,ROW()-1)</f>
        <v>0</v>
      </c>
      <c r="M84" s="108">
        <f>SUMIF(Erfassung1!BD:BD,L84,Erfassung1!BS:BS)</f>
        <v>0</v>
      </c>
      <c r="N84" s="108">
        <f>SUMIF(Erfassung1!BD:BD,L84,Erfassung1!BG:BG)</f>
        <v>0</v>
      </c>
      <c r="O84" s="108">
        <f t="shared" si="7"/>
        <v>0</v>
      </c>
      <c r="P84" s="108">
        <f t="shared" si="8"/>
        <v>27</v>
      </c>
    </row>
    <row r="85" spans="1:16" x14ac:dyDescent="0.2">
      <c r="A85" s="108" t="str">
        <f t="shared" si="13"/>
        <v/>
      </c>
      <c r="B85" s="108" t="str">
        <f t="shared" si="9"/>
        <v/>
      </c>
      <c r="C85" s="108" t="str">
        <f>IFERROR(INDEX(Starter!B:B,MATCH(B85,Starter!A:A,0)),"")</f>
        <v/>
      </c>
      <c r="D85" s="108" t="str">
        <f>IFERROR(INDEX(Starter!C:C,MATCH(B85,Starter!A:A,0)),"")</f>
        <v/>
      </c>
      <c r="E85" s="117" t="str">
        <f t="shared" si="10"/>
        <v/>
      </c>
      <c r="F85" s="108" t="str">
        <f t="shared" si="11"/>
        <v/>
      </c>
      <c r="G85" s="112" t="str">
        <f t="shared" si="12"/>
        <v/>
      </c>
      <c r="L85" s="108">
        <f>INDEX(Starter!A:A,ROW()-1)</f>
        <v>0</v>
      </c>
      <c r="M85" s="108">
        <f>SUMIF(Erfassung1!BD:BD,L85,Erfassung1!BS:BS)</f>
        <v>0</v>
      </c>
      <c r="N85" s="108">
        <f>SUMIF(Erfassung1!BD:BD,L85,Erfassung1!BG:BG)</f>
        <v>0</v>
      </c>
      <c r="O85" s="108">
        <f t="shared" si="7"/>
        <v>0</v>
      </c>
      <c r="P85" s="108">
        <f t="shared" si="8"/>
        <v>27</v>
      </c>
    </row>
    <row r="86" spans="1:16" x14ac:dyDescent="0.2">
      <c r="A86" s="108" t="str">
        <f t="shared" si="13"/>
        <v/>
      </c>
      <c r="B86" s="108" t="str">
        <f t="shared" si="9"/>
        <v/>
      </c>
      <c r="C86" s="108" t="str">
        <f>IFERROR(INDEX(Starter!B:B,MATCH(B86,Starter!A:A,0)),"")</f>
        <v/>
      </c>
      <c r="D86" s="108" t="str">
        <f>IFERROR(INDEX(Starter!C:C,MATCH(B86,Starter!A:A,0)),"")</f>
        <v/>
      </c>
      <c r="E86" s="117" t="str">
        <f t="shared" si="10"/>
        <v/>
      </c>
      <c r="F86" s="108" t="str">
        <f t="shared" si="11"/>
        <v/>
      </c>
      <c r="G86" s="112" t="str">
        <f t="shared" si="12"/>
        <v/>
      </c>
      <c r="L86" s="108">
        <f>INDEX(Starter!A:A,ROW()-1)</f>
        <v>0</v>
      </c>
      <c r="M86" s="108">
        <f>SUMIF(Erfassung1!BD:BD,L86,Erfassung1!BS:BS)</f>
        <v>0</v>
      </c>
      <c r="N86" s="108">
        <f>SUMIF(Erfassung1!BD:BD,L86,Erfassung1!BG:BG)</f>
        <v>0</v>
      </c>
      <c r="O86" s="108">
        <f t="shared" si="7"/>
        <v>0</v>
      </c>
      <c r="P86" s="108">
        <f t="shared" si="8"/>
        <v>27</v>
      </c>
    </row>
    <row r="87" spans="1:16" x14ac:dyDescent="0.2">
      <c r="A87" s="108" t="str">
        <f t="shared" si="13"/>
        <v/>
      </c>
      <c r="B87" s="108" t="str">
        <f t="shared" si="9"/>
        <v/>
      </c>
      <c r="C87" s="108" t="str">
        <f>IFERROR(INDEX(Starter!B:B,MATCH(B87,Starter!A:A,0)),"")</f>
        <v/>
      </c>
      <c r="D87" s="108" t="str">
        <f>IFERROR(INDEX(Starter!C:C,MATCH(B87,Starter!A:A,0)),"")</f>
        <v/>
      </c>
      <c r="E87" s="117" t="str">
        <f t="shared" si="10"/>
        <v/>
      </c>
      <c r="F87" s="108" t="str">
        <f t="shared" si="11"/>
        <v/>
      </c>
      <c r="G87" s="112" t="str">
        <f t="shared" si="12"/>
        <v/>
      </c>
      <c r="L87" s="108">
        <f>INDEX(Starter!A:A,ROW()-1)</f>
        <v>0</v>
      </c>
      <c r="M87" s="108">
        <f>SUMIF(Erfassung1!BD:BD,L87,Erfassung1!BS:BS)</f>
        <v>0</v>
      </c>
      <c r="N87" s="108">
        <f>SUMIF(Erfassung1!BD:BD,L87,Erfassung1!BG:BG)</f>
        <v>0</v>
      </c>
      <c r="O87" s="108">
        <f t="shared" si="7"/>
        <v>0</v>
      </c>
      <c r="P87" s="108">
        <f t="shared" si="8"/>
        <v>27</v>
      </c>
    </row>
    <row r="88" spans="1:16" x14ac:dyDescent="0.2">
      <c r="A88" s="108" t="str">
        <f t="shared" si="13"/>
        <v/>
      </c>
      <c r="B88" s="108" t="str">
        <f t="shared" si="9"/>
        <v/>
      </c>
      <c r="C88" s="108" t="str">
        <f>IFERROR(INDEX(Starter!B:B,MATCH(B88,Starter!A:A,0)),"")</f>
        <v/>
      </c>
      <c r="D88" s="108" t="str">
        <f>IFERROR(INDEX(Starter!C:C,MATCH(B88,Starter!A:A,0)),"")</f>
        <v/>
      </c>
      <c r="E88" s="117" t="str">
        <f t="shared" si="10"/>
        <v/>
      </c>
      <c r="F88" s="108" t="str">
        <f t="shared" si="11"/>
        <v/>
      </c>
      <c r="G88" s="112" t="str">
        <f t="shared" si="12"/>
        <v/>
      </c>
      <c r="L88" s="108">
        <f>INDEX(Starter!A:A,ROW()-1)</f>
        <v>0</v>
      </c>
      <c r="M88" s="108">
        <f>SUMIF(Erfassung1!BD:BD,L88,Erfassung1!BS:BS)</f>
        <v>0</v>
      </c>
      <c r="N88" s="108">
        <f>SUMIF(Erfassung1!BD:BD,L88,Erfassung1!BG:BG)</f>
        <v>0</v>
      </c>
      <c r="O88" s="108">
        <f t="shared" si="7"/>
        <v>0</v>
      </c>
      <c r="P88" s="108">
        <f t="shared" si="8"/>
        <v>27</v>
      </c>
    </row>
    <row r="89" spans="1:16" x14ac:dyDescent="0.2">
      <c r="A89" s="108" t="str">
        <f t="shared" si="13"/>
        <v/>
      </c>
      <c r="B89" s="108" t="str">
        <f t="shared" si="9"/>
        <v/>
      </c>
      <c r="C89" s="108" t="str">
        <f>IFERROR(INDEX(Starter!B:B,MATCH(B89,Starter!A:A,0)),"")</f>
        <v/>
      </c>
      <c r="D89" s="108" t="str">
        <f>IFERROR(INDEX(Starter!C:C,MATCH(B89,Starter!A:A,0)),"")</f>
        <v/>
      </c>
      <c r="E89" s="117" t="str">
        <f t="shared" si="10"/>
        <v/>
      </c>
      <c r="F89" s="108" t="str">
        <f t="shared" si="11"/>
        <v/>
      </c>
      <c r="G89" s="112" t="str">
        <f t="shared" si="12"/>
        <v/>
      </c>
      <c r="L89" s="108">
        <f>INDEX(Starter!A:A,ROW()-1)</f>
        <v>0</v>
      </c>
      <c r="M89" s="108">
        <f>SUMIF(Erfassung1!BD:BD,L89,Erfassung1!BS:BS)</f>
        <v>0</v>
      </c>
      <c r="N89" s="108">
        <f>SUMIF(Erfassung1!BD:BD,L89,Erfassung1!BG:BG)</f>
        <v>0</v>
      </c>
      <c r="O89" s="108">
        <f t="shared" si="7"/>
        <v>0</v>
      </c>
      <c r="P89" s="108">
        <f t="shared" si="8"/>
        <v>27</v>
      </c>
    </row>
    <row r="90" spans="1:16" x14ac:dyDescent="0.2">
      <c r="A90" s="108" t="str">
        <f t="shared" si="13"/>
        <v/>
      </c>
      <c r="B90" s="108" t="str">
        <f t="shared" si="9"/>
        <v/>
      </c>
      <c r="C90" s="108" t="str">
        <f>IFERROR(INDEX(Starter!B:B,MATCH(B90,Starter!A:A,0)),"")</f>
        <v/>
      </c>
      <c r="D90" s="108" t="str">
        <f>IFERROR(INDEX(Starter!C:C,MATCH(B90,Starter!A:A,0)),"")</f>
        <v/>
      </c>
      <c r="E90" s="117" t="str">
        <f t="shared" si="10"/>
        <v/>
      </c>
      <c r="F90" s="108" t="str">
        <f t="shared" si="11"/>
        <v/>
      </c>
      <c r="G90" s="112" t="str">
        <f t="shared" si="12"/>
        <v/>
      </c>
      <c r="L90" s="108">
        <f>INDEX(Starter!A:A,ROW()-1)</f>
        <v>0</v>
      </c>
      <c r="M90" s="108">
        <f>SUMIF(Erfassung1!BD:BD,L90,Erfassung1!BS:BS)</f>
        <v>0</v>
      </c>
      <c r="N90" s="108">
        <f>SUMIF(Erfassung1!BD:BD,L90,Erfassung1!BG:BG)</f>
        <v>0</v>
      </c>
      <c r="O90" s="108">
        <f t="shared" si="7"/>
        <v>0</v>
      </c>
      <c r="P90" s="108">
        <f t="shared" si="8"/>
        <v>27</v>
      </c>
    </row>
    <row r="91" spans="1:16" x14ac:dyDescent="0.2">
      <c r="A91" s="108" t="str">
        <f t="shared" si="13"/>
        <v/>
      </c>
      <c r="B91" s="108" t="str">
        <f t="shared" si="9"/>
        <v/>
      </c>
      <c r="C91" s="108" t="str">
        <f>IFERROR(INDEX(Starter!B:B,MATCH(B91,Starter!A:A,0)),"")</f>
        <v/>
      </c>
      <c r="D91" s="108" t="str">
        <f>IFERROR(INDEX(Starter!C:C,MATCH(B91,Starter!A:A,0)),"")</f>
        <v/>
      </c>
      <c r="E91" s="117" t="str">
        <f t="shared" si="10"/>
        <v/>
      </c>
      <c r="F91" s="108" t="str">
        <f t="shared" si="11"/>
        <v/>
      </c>
      <c r="G91" s="112" t="str">
        <f t="shared" si="12"/>
        <v/>
      </c>
      <c r="L91" s="108">
        <f>INDEX(Starter!A:A,ROW()-1)</f>
        <v>0</v>
      </c>
      <c r="M91" s="108">
        <f>SUMIF(Erfassung1!BD:BD,L91,Erfassung1!BS:BS)</f>
        <v>0</v>
      </c>
      <c r="N91" s="108">
        <f>SUMIF(Erfassung1!BD:BD,L91,Erfassung1!BG:BG)</f>
        <v>0</v>
      </c>
      <c r="O91" s="108">
        <f t="shared" si="7"/>
        <v>0</v>
      </c>
      <c r="P91" s="108">
        <f t="shared" si="8"/>
        <v>27</v>
      </c>
    </row>
    <row r="92" spans="1:16" x14ac:dyDescent="0.2">
      <c r="A92" s="108" t="str">
        <f t="shared" si="13"/>
        <v/>
      </c>
      <c r="B92" s="108" t="str">
        <f t="shared" si="9"/>
        <v/>
      </c>
      <c r="C92" s="108" t="str">
        <f>IFERROR(INDEX(Starter!B:B,MATCH(B92,Starter!A:A,0)),"")</f>
        <v/>
      </c>
      <c r="D92" s="108" t="str">
        <f>IFERROR(INDEX(Starter!C:C,MATCH(B92,Starter!A:A,0)),"")</f>
        <v/>
      </c>
      <c r="E92" s="117" t="str">
        <f t="shared" si="10"/>
        <v/>
      </c>
      <c r="F92" s="108" t="str">
        <f t="shared" si="11"/>
        <v/>
      </c>
      <c r="G92" s="112" t="str">
        <f t="shared" si="12"/>
        <v/>
      </c>
      <c r="L92" s="108">
        <f>INDEX(Starter!A:A,ROW()-1)</f>
        <v>0</v>
      </c>
      <c r="M92" s="108">
        <f>SUMIF(Erfassung1!BD:BD,L92,Erfassung1!BS:BS)</f>
        <v>0</v>
      </c>
      <c r="N92" s="108">
        <f>SUMIF(Erfassung1!BD:BD,L92,Erfassung1!BG:BG)</f>
        <v>0</v>
      </c>
      <c r="O92" s="108">
        <f t="shared" si="7"/>
        <v>0</v>
      </c>
      <c r="P92" s="108">
        <f t="shared" si="8"/>
        <v>27</v>
      </c>
    </row>
    <row r="93" spans="1:16" x14ac:dyDescent="0.2">
      <c r="A93" s="108" t="str">
        <f t="shared" si="13"/>
        <v/>
      </c>
      <c r="B93" s="108" t="str">
        <f t="shared" si="9"/>
        <v/>
      </c>
      <c r="C93" s="108" t="str">
        <f>IFERROR(INDEX(Starter!B:B,MATCH(B93,Starter!A:A,0)),"")</f>
        <v/>
      </c>
      <c r="D93" s="108" t="str">
        <f>IFERROR(INDEX(Starter!C:C,MATCH(B93,Starter!A:A,0)),"")</f>
        <v/>
      </c>
      <c r="E93" s="117" t="str">
        <f t="shared" si="10"/>
        <v/>
      </c>
      <c r="F93" s="108" t="str">
        <f t="shared" si="11"/>
        <v/>
      </c>
      <c r="G93" s="112" t="str">
        <f t="shared" si="12"/>
        <v/>
      </c>
      <c r="L93" s="108">
        <f>INDEX(Starter!A:A,ROW()-1)</f>
        <v>0</v>
      </c>
      <c r="M93" s="108">
        <f>SUMIF(Erfassung1!BD:BD,L93,Erfassung1!BS:BS)</f>
        <v>0</v>
      </c>
      <c r="N93" s="108">
        <f>SUMIF(Erfassung1!BD:BD,L93,Erfassung1!BG:BG)</f>
        <v>0</v>
      </c>
      <c r="O93" s="108">
        <f t="shared" si="7"/>
        <v>0</v>
      </c>
      <c r="P93" s="108">
        <f t="shared" si="8"/>
        <v>27</v>
      </c>
    </row>
    <row r="94" spans="1:16" x14ac:dyDescent="0.2">
      <c r="A94" s="108" t="str">
        <f t="shared" si="13"/>
        <v/>
      </c>
      <c r="B94" s="108" t="str">
        <f t="shared" si="9"/>
        <v/>
      </c>
      <c r="C94" s="108" t="str">
        <f>IFERROR(INDEX(Starter!B:B,MATCH(B94,Starter!A:A,0)),"")</f>
        <v/>
      </c>
      <c r="D94" s="108" t="str">
        <f>IFERROR(INDEX(Starter!C:C,MATCH(B94,Starter!A:A,0)),"")</f>
        <v/>
      </c>
      <c r="E94" s="117" t="str">
        <f t="shared" si="10"/>
        <v/>
      </c>
      <c r="F94" s="108" t="str">
        <f t="shared" si="11"/>
        <v/>
      </c>
      <c r="G94" s="112" t="str">
        <f t="shared" si="12"/>
        <v/>
      </c>
      <c r="L94" s="108">
        <f>INDEX(Starter!A:A,ROW()-1)</f>
        <v>0</v>
      </c>
      <c r="M94" s="108">
        <f>SUMIF(Erfassung1!BD:BD,L94,Erfassung1!BS:BS)</f>
        <v>0</v>
      </c>
      <c r="N94" s="108">
        <f>SUMIF(Erfassung1!BD:BD,L94,Erfassung1!BG:BG)</f>
        <v>0</v>
      </c>
      <c r="O94" s="108">
        <f t="shared" si="7"/>
        <v>0</v>
      </c>
      <c r="P94" s="108">
        <f t="shared" si="8"/>
        <v>27</v>
      </c>
    </row>
    <row r="95" spans="1:16" x14ac:dyDescent="0.2">
      <c r="A95" s="108" t="str">
        <f t="shared" si="13"/>
        <v/>
      </c>
      <c r="B95" s="108" t="str">
        <f t="shared" si="9"/>
        <v/>
      </c>
      <c r="C95" s="108" t="str">
        <f>IFERROR(INDEX(Starter!B:B,MATCH(B95,Starter!A:A,0)),"")</f>
        <v/>
      </c>
      <c r="D95" s="108" t="str">
        <f>IFERROR(INDEX(Starter!C:C,MATCH(B95,Starter!A:A,0)),"")</f>
        <v/>
      </c>
      <c r="E95" s="117" t="str">
        <f t="shared" si="10"/>
        <v/>
      </c>
      <c r="F95" s="108" t="str">
        <f t="shared" si="11"/>
        <v/>
      </c>
      <c r="G95" s="112" t="str">
        <f t="shared" si="12"/>
        <v/>
      </c>
      <c r="L95" s="108">
        <f>INDEX(Starter!A:A,ROW()-1)</f>
        <v>0</v>
      </c>
      <c r="M95" s="108">
        <f>SUMIF(Erfassung1!BD:BD,L95,Erfassung1!BS:BS)</f>
        <v>0</v>
      </c>
      <c r="N95" s="108">
        <f>SUMIF(Erfassung1!BD:BD,L95,Erfassung1!BG:BG)</f>
        <v>0</v>
      </c>
      <c r="O95" s="108">
        <f t="shared" si="7"/>
        <v>0</v>
      </c>
      <c r="P95" s="108">
        <f t="shared" si="8"/>
        <v>27</v>
      </c>
    </row>
    <row r="96" spans="1:16" x14ac:dyDescent="0.2">
      <c r="A96" s="108" t="str">
        <f t="shared" si="13"/>
        <v/>
      </c>
      <c r="B96" s="108" t="str">
        <f t="shared" si="9"/>
        <v/>
      </c>
      <c r="C96" s="108" t="str">
        <f>IFERROR(INDEX(Starter!B:B,MATCH(B96,Starter!A:A,0)),"")</f>
        <v/>
      </c>
      <c r="D96" s="108" t="str">
        <f>IFERROR(INDEX(Starter!C:C,MATCH(B96,Starter!A:A,0)),"")</f>
        <v/>
      </c>
      <c r="E96" s="117" t="str">
        <f t="shared" si="10"/>
        <v/>
      </c>
      <c r="F96" s="108" t="str">
        <f t="shared" si="11"/>
        <v/>
      </c>
      <c r="G96" s="112" t="str">
        <f t="shared" si="12"/>
        <v/>
      </c>
      <c r="L96" s="108">
        <f>INDEX(Starter!A:A,ROW()-1)</f>
        <v>0</v>
      </c>
      <c r="M96" s="108">
        <f>SUMIF(Erfassung1!BD:BD,L96,Erfassung1!BS:BS)</f>
        <v>0</v>
      </c>
      <c r="N96" s="108">
        <f>SUMIF(Erfassung1!BD:BD,L96,Erfassung1!BG:BG)</f>
        <v>0</v>
      </c>
      <c r="O96" s="108">
        <f t="shared" si="7"/>
        <v>0</v>
      </c>
      <c r="P96" s="108">
        <f t="shared" si="8"/>
        <v>27</v>
      </c>
    </row>
    <row r="97" spans="1:16" x14ac:dyDescent="0.2">
      <c r="A97" s="108" t="str">
        <f t="shared" si="13"/>
        <v/>
      </c>
      <c r="B97" s="108" t="str">
        <f t="shared" si="9"/>
        <v/>
      </c>
      <c r="C97" s="108" t="str">
        <f>IFERROR(INDEX(Starter!B:B,MATCH(B97,Starter!A:A,0)),"")</f>
        <v/>
      </c>
      <c r="D97" s="108" t="str">
        <f>IFERROR(INDEX(Starter!C:C,MATCH(B97,Starter!A:A,0)),"")</f>
        <v/>
      </c>
      <c r="E97" s="117" t="str">
        <f t="shared" si="10"/>
        <v/>
      </c>
      <c r="F97" s="108" t="str">
        <f t="shared" si="11"/>
        <v/>
      </c>
      <c r="G97" s="112" t="str">
        <f t="shared" si="12"/>
        <v/>
      </c>
      <c r="L97" s="108">
        <f>INDEX(Starter!A:A,ROW()-1)</f>
        <v>0</v>
      </c>
      <c r="M97" s="108">
        <f>SUMIF(Erfassung1!BD:BD,L97,Erfassung1!BS:BS)</f>
        <v>0</v>
      </c>
      <c r="N97" s="108">
        <f>SUMIF(Erfassung1!BD:BD,L97,Erfassung1!BG:BG)</f>
        <v>0</v>
      </c>
      <c r="O97" s="108">
        <f t="shared" si="7"/>
        <v>0</v>
      </c>
      <c r="P97" s="108">
        <f t="shared" si="8"/>
        <v>27</v>
      </c>
    </row>
    <row r="98" spans="1:16" x14ac:dyDescent="0.2">
      <c r="A98" s="108" t="str">
        <f t="shared" si="13"/>
        <v/>
      </c>
      <c r="B98" s="108" t="str">
        <f t="shared" si="9"/>
        <v/>
      </c>
      <c r="C98" s="108" t="str">
        <f>IFERROR(INDEX(Starter!B:B,MATCH(B98,Starter!A:A,0)),"")</f>
        <v/>
      </c>
      <c r="D98" s="108" t="str">
        <f>IFERROR(INDEX(Starter!C:C,MATCH(B98,Starter!A:A,0)),"")</f>
        <v/>
      </c>
      <c r="E98" s="117" t="str">
        <f t="shared" si="10"/>
        <v/>
      </c>
      <c r="F98" s="108" t="str">
        <f t="shared" si="11"/>
        <v/>
      </c>
      <c r="G98" s="112" t="str">
        <f t="shared" si="12"/>
        <v/>
      </c>
      <c r="L98" s="108">
        <f>INDEX(Starter!A:A,ROW()-1)</f>
        <v>0</v>
      </c>
      <c r="M98" s="108">
        <f>SUMIF(Erfassung1!BD:BD,L98,Erfassung1!BS:BS)</f>
        <v>0</v>
      </c>
      <c r="N98" s="108">
        <f>SUMIF(Erfassung1!BD:BD,L98,Erfassung1!BG:BG)</f>
        <v>0</v>
      </c>
      <c r="O98" s="108">
        <f t="shared" si="7"/>
        <v>0</v>
      </c>
      <c r="P98" s="108">
        <f t="shared" si="8"/>
        <v>27</v>
      </c>
    </row>
    <row r="99" spans="1:16" x14ac:dyDescent="0.2">
      <c r="A99" s="108" t="str">
        <f t="shared" si="13"/>
        <v/>
      </c>
      <c r="B99" s="108" t="str">
        <f t="shared" si="9"/>
        <v/>
      </c>
      <c r="C99" s="108" t="str">
        <f>IFERROR(INDEX(Starter!B:B,MATCH(B99,Starter!A:A,0)),"")</f>
        <v/>
      </c>
      <c r="D99" s="108" t="str">
        <f>IFERROR(INDEX(Starter!C:C,MATCH(B99,Starter!A:A,0)),"")</f>
        <v/>
      </c>
      <c r="E99" s="117" t="str">
        <f t="shared" si="10"/>
        <v/>
      </c>
      <c r="F99" s="108" t="str">
        <f t="shared" si="11"/>
        <v/>
      </c>
      <c r="G99" s="112" t="str">
        <f t="shared" si="12"/>
        <v/>
      </c>
      <c r="L99" s="108">
        <f>INDEX(Starter!A:A,ROW()-1)</f>
        <v>0</v>
      </c>
      <c r="M99" s="108">
        <f>SUMIF(Erfassung1!BD:BD,L99,Erfassung1!BS:BS)</f>
        <v>0</v>
      </c>
      <c r="N99" s="108">
        <f>SUMIF(Erfassung1!BD:BD,L99,Erfassung1!BG:BG)</f>
        <v>0</v>
      </c>
      <c r="O99" s="108">
        <f t="shared" si="7"/>
        <v>0</v>
      </c>
      <c r="P99" s="108">
        <f t="shared" si="8"/>
        <v>27</v>
      </c>
    </row>
    <row r="100" spans="1:16" x14ac:dyDescent="0.2">
      <c r="A100" s="108" t="str">
        <f t="shared" si="13"/>
        <v/>
      </c>
      <c r="B100" s="108" t="str">
        <f t="shared" si="9"/>
        <v/>
      </c>
      <c r="C100" s="108" t="str">
        <f>IFERROR(INDEX(Starter!B:B,MATCH(B100,Starter!A:A,0)),"")</f>
        <v/>
      </c>
      <c r="D100" s="108" t="str">
        <f>IFERROR(INDEX(Starter!C:C,MATCH(B100,Starter!A:A,0)),"")</f>
        <v/>
      </c>
      <c r="E100" s="117" t="str">
        <f t="shared" si="10"/>
        <v/>
      </c>
      <c r="F100" s="108" t="str">
        <f t="shared" si="11"/>
        <v/>
      </c>
      <c r="G100" s="112" t="str">
        <f t="shared" si="12"/>
        <v/>
      </c>
      <c r="L100" s="108">
        <f>INDEX(Starter!A:A,ROW()-1)</f>
        <v>0</v>
      </c>
      <c r="M100" s="108">
        <f>SUMIF(Erfassung1!BD:BD,L100,Erfassung1!BS:BS)</f>
        <v>0</v>
      </c>
      <c r="N100" s="108">
        <f>SUMIF(Erfassung1!BD:BD,L100,Erfassung1!BG:BG)</f>
        <v>0</v>
      </c>
      <c r="O100" s="108">
        <f t="shared" si="7"/>
        <v>0</v>
      </c>
      <c r="P100" s="108">
        <f t="shared" si="8"/>
        <v>27</v>
      </c>
    </row>
    <row r="101" spans="1:16" x14ac:dyDescent="0.2">
      <c r="A101" s="108" t="str">
        <f t="shared" si="13"/>
        <v/>
      </c>
      <c r="B101" s="108" t="str">
        <f>IFERROR(INDEX(L:L,MATCH(A101,P:P,0)),"")</f>
        <v/>
      </c>
      <c r="C101" s="108" t="str">
        <f>IFERROR(INDEX(Starter!B:B,MATCH(B101,Starter!A:A,0)),"")</f>
        <v/>
      </c>
      <c r="D101" s="108" t="str">
        <f>IFERROR(INDEX(Starter!C:C,MATCH(B101,Starter!A:A,0)),"")</f>
        <v/>
      </c>
      <c r="E101" s="117" t="str">
        <f t="shared" si="10"/>
        <v/>
      </c>
      <c r="F101" s="108" t="str">
        <f t="shared" si="11"/>
        <v/>
      </c>
      <c r="G101" s="112" t="str">
        <f t="shared" si="12"/>
        <v/>
      </c>
      <c r="L101" s="108">
        <f>INDEX(Starter!A:A,ROW()-1)</f>
        <v>0</v>
      </c>
      <c r="M101" s="108">
        <f>SUMIF(Erfassung1!BD:BD,L101,Erfassung1!BS:BS)</f>
        <v>0</v>
      </c>
      <c r="N101" s="108">
        <f>SUMIF(Erfassung1!BD:BD,L101,Erfassung1!BG:BG)</f>
        <v>0</v>
      </c>
      <c r="O101" s="108">
        <f t="shared" si="7"/>
        <v>0</v>
      </c>
      <c r="P101" s="108">
        <f t="shared" si="8"/>
        <v>27</v>
      </c>
    </row>
    <row r="102" spans="1:16" x14ac:dyDescent="0.2">
      <c r="A102" s="108" t="str">
        <f t="shared" si="13"/>
        <v/>
      </c>
      <c r="B102" s="108" t="str">
        <f>IFERROR(INDEX(L:L,MATCH(A102,P:P,0)),"")</f>
        <v/>
      </c>
      <c r="C102" s="108" t="str">
        <f>IFERROR(INDEX(Starter!B:B,MATCH(B102,Starter!A:A,0)),"")</f>
        <v/>
      </c>
      <c r="D102" s="108" t="str">
        <f>IFERROR(INDEX(Starter!C:C,MATCH(B102,Starter!A:A,0)),"")</f>
        <v/>
      </c>
      <c r="E102" s="117" t="str">
        <f t="shared" si="10"/>
        <v/>
      </c>
      <c r="F102" s="108" t="str">
        <f t="shared" si="11"/>
        <v/>
      </c>
      <c r="G102" s="112" t="str">
        <f t="shared" si="12"/>
        <v/>
      </c>
      <c r="L102" s="108">
        <f>INDEX(Starter!A:A,ROW()-1)</f>
        <v>0</v>
      </c>
      <c r="M102" s="108">
        <f>SUMIF(Erfassung1!BD:BD,L102,Erfassung1!BS:BS)</f>
        <v>0</v>
      </c>
      <c r="N102" s="108">
        <f>SUMIF(Erfassung1!BD:BD,L102,Erfassung1!BG:BG)</f>
        <v>0</v>
      </c>
      <c r="O102" s="108">
        <f t="shared" si="7"/>
        <v>0</v>
      </c>
      <c r="P102" s="108">
        <f t="shared" si="8"/>
        <v>27</v>
      </c>
    </row>
    <row r="103" spans="1:16" x14ac:dyDescent="0.2">
      <c r="A103" s="108" t="str">
        <f t="shared" si="13"/>
        <v/>
      </c>
      <c r="B103" s="108" t="str">
        <f>IFERROR(INDEX(L:L,MATCH(A103,P:P,0)),"")</f>
        <v/>
      </c>
      <c r="C103" s="108" t="str">
        <f>IFERROR(INDEX(Starter!B:B,MATCH(B103,Starter!A:A,0)),"")</f>
        <v/>
      </c>
      <c r="D103" s="108" t="str">
        <f>IFERROR(INDEX(Starter!C:C,MATCH(B103,Starter!A:A,0)),"")</f>
        <v/>
      </c>
      <c r="E103" s="117" t="str">
        <f t="shared" si="10"/>
        <v/>
      </c>
      <c r="F103" s="108" t="str">
        <f t="shared" si="11"/>
        <v/>
      </c>
      <c r="G103" s="112" t="str">
        <f t="shared" si="12"/>
        <v/>
      </c>
      <c r="L103" s="108">
        <f>INDEX(Starter!A:A,ROW()-1)</f>
        <v>0</v>
      </c>
      <c r="M103" s="108">
        <f>SUMIF(Erfassung1!BD:BD,L103,Erfassung1!BS:BS)</f>
        <v>0</v>
      </c>
      <c r="N103" s="108">
        <f>SUMIF(Erfassung1!BD:BD,L103,Erfassung1!BG:BG)</f>
        <v>0</v>
      </c>
      <c r="O103" s="108">
        <f t="shared" si="7"/>
        <v>0</v>
      </c>
      <c r="P103" s="108">
        <f t="shared" si="8"/>
        <v>27</v>
      </c>
    </row>
    <row r="104" spans="1:16" x14ac:dyDescent="0.2">
      <c r="A104" s="108" t="str">
        <f t="shared" si="13"/>
        <v/>
      </c>
      <c r="B104" s="108" t="str">
        <f>IFERROR(INDEX(L:L,MATCH(A104,P:P,0)),"")</f>
        <v/>
      </c>
      <c r="C104" s="108" t="str">
        <f>IFERROR(INDEX(Starter!B:B,MATCH(B104,Starter!A:A,0)),"")</f>
        <v/>
      </c>
      <c r="D104" s="108" t="str">
        <f>IFERROR(INDEX(Starter!C:C,MATCH(B104,Starter!A:A,0)),"")</f>
        <v/>
      </c>
      <c r="E104" s="117" t="str">
        <f t="shared" si="10"/>
        <v/>
      </c>
      <c r="F104" s="108" t="str">
        <f t="shared" si="11"/>
        <v/>
      </c>
      <c r="G104" s="112" t="str">
        <f t="shared" si="12"/>
        <v/>
      </c>
      <c r="L104" s="108">
        <f>INDEX(Starter!A:A,ROW()-1)</f>
        <v>0</v>
      </c>
      <c r="M104" s="108">
        <f>SUMIF(Erfassung1!BD:BD,L104,Erfassung1!BS:BS)</f>
        <v>0</v>
      </c>
      <c r="N104" s="108">
        <f>SUMIF(Erfassung1!BD:BD,L104,Erfassung1!BG:BG)</f>
        <v>0</v>
      </c>
      <c r="O104" s="108">
        <f t="shared" si="7"/>
        <v>0</v>
      </c>
      <c r="P104" s="108">
        <f t="shared" si="8"/>
        <v>27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32</vt:i4>
      </vt:variant>
    </vt:vector>
  </HeadingPairs>
  <TitlesOfParts>
    <vt:vector size="78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Franke Tobias</cp:lastModifiedBy>
  <cp:lastPrinted>2025-04-13T12:53:29Z</cp:lastPrinted>
  <dcterms:created xsi:type="dcterms:W3CDTF">2008-06-12T13:54:35Z</dcterms:created>
  <dcterms:modified xsi:type="dcterms:W3CDTF">2025-04-13T12:57:13Z</dcterms:modified>
</cp:coreProperties>
</file>